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hidePivotFieldList="1" defaultThemeVersion="124226"/>
  <mc:AlternateContent xmlns:mc="http://schemas.openxmlformats.org/markup-compatibility/2006">
    <mc:Choice Requires="x15">
      <x15ac:absPath xmlns:x15ac="http://schemas.microsoft.com/office/spreadsheetml/2010/11/ac" url="C:\Users\Mark Gilean\Downloads\"/>
    </mc:Choice>
  </mc:AlternateContent>
  <xr:revisionPtr revIDLastSave="0" documentId="13_ncr:1_{A0195749-A726-4F31-9DF9-D91B4AB9E60A}" xr6:coauthVersionLast="47" xr6:coauthVersionMax="47" xr10:uidLastSave="{00000000-0000-0000-0000-000000000000}"/>
  <bookViews>
    <workbookView xWindow="-120" yWindow="-120" windowWidth="29040" windowHeight="15720" tabRatio="967" firstSheet="25" activeTab="31" xr2:uid="{00000000-000D-0000-FFFF-FFFF00000000}"/>
  </bookViews>
  <sheets>
    <sheet name="Logical - IF" sheetId="41" r:id="rId1"/>
    <sheet name="Logical - AND" sheetId="42" r:id="rId2"/>
    <sheet name="Logical - Nested IFs" sheetId="43" r:id="rId3"/>
    <sheet name="Logical - OR" sheetId="44" r:id="rId4"/>
    <sheet name="Logical - IFERROR" sheetId="45" r:id="rId5"/>
    <sheet name="Logical - IFNA" sheetId="47" r:id="rId6"/>
    <sheet name="Text - Exact" sheetId="48" r:id="rId7"/>
    <sheet name="Text - TEXT" sheetId="49" r:id="rId8"/>
    <sheet name="Text - CONCATENATE" sheetId="50" r:id="rId9"/>
    <sheet name="Text - TRIM" sheetId="51" r:id="rId10"/>
    <sheet name="Text - SUBSTITUTE" sheetId="52" r:id="rId11"/>
    <sheet name="Text - VALUE" sheetId="53" r:id="rId12"/>
    <sheet name="Text - UPPER" sheetId="54" r:id="rId13"/>
    <sheet name="Text - LOWER" sheetId="55" r:id="rId14"/>
    <sheet name="Text - LEN" sheetId="56" r:id="rId15"/>
    <sheet name="Text - LEFT" sheetId="57" r:id="rId16"/>
    <sheet name="Text - RIGHT" sheetId="58" r:id="rId17"/>
    <sheet name="Text - MID" sheetId="59" r:id="rId18"/>
    <sheet name="Date - DATE" sheetId="60" r:id="rId19"/>
    <sheet name="Date - DATEVALUE" sheetId="61" r:id="rId20"/>
    <sheet name="Date - TODAY" sheetId="62" r:id="rId21"/>
    <sheet name="Date - NOW" sheetId="63" r:id="rId22"/>
    <sheet name="Date - DAY" sheetId="64" r:id="rId23"/>
    <sheet name="Date - MONTH" sheetId="65" r:id="rId24"/>
    <sheet name="Date - YEAR" sheetId="66" r:id="rId25"/>
    <sheet name="Date - WEEKDAY" sheetId="67" r:id="rId26"/>
    <sheet name="Time - MINUTE" sheetId="68" r:id="rId27"/>
    <sheet name="Time - HOUR" sheetId="69" r:id="rId28"/>
    <sheet name="Lookup - VLOOKUP" sheetId="76" r:id="rId29"/>
    <sheet name="Lookup - HLOOKUP" sheetId="77" r:id="rId30"/>
    <sheet name="Lookup - TRANSPOSE" sheetId="78" r:id="rId31"/>
    <sheet name="Lookup - MATCH" sheetId="79" r:id="rId32"/>
    <sheet name="MATH - SUM" sheetId="70" r:id="rId33"/>
    <sheet name="MATH - SUMIF" sheetId="71" r:id="rId34"/>
    <sheet name="MATH - SUMPRODUCT" sheetId="72" r:id="rId35"/>
    <sheet name="MATH - RAND" sheetId="73" r:id="rId36"/>
    <sheet name="MATH - RANDBETWEEN" sheetId="74" r:id="rId37"/>
    <sheet name="MATH - ROUND" sheetId="75" r:id="rId38"/>
    <sheet name="MATH - EVEN" sheetId="80" r:id="rId39"/>
    <sheet name="MATH - ODD" sheetId="81" r:id="rId40"/>
    <sheet name="MATH - MOD" sheetId="82" r:id="rId41"/>
    <sheet name="STATISTICAL - MIN" sheetId="83" r:id="rId42"/>
    <sheet name="STATISTICAL - MAX" sheetId="84" r:id="rId43"/>
    <sheet name="STATISTICAL - AVERAGE" sheetId="85" r:id="rId44"/>
    <sheet name="STATISTICAL - SMALL" sheetId="86" r:id="rId45"/>
    <sheet name="STATISTICAL - LARGE" sheetId="87" r:id="rId46"/>
    <sheet name="STATISTICAL - COUNT" sheetId="88" r:id="rId47"/>
    <sheet name="STATISTICAL - COUNTIF" sheetId="89" r:id="rId48"/>
    <sheet name="STATISTICAL - STDEV" sheetId="90" r:id="rId49"/>
    <sheet name="STATISTICAL - CORREL" sheetId="92" r:id="rId50"/>
    <sheet name="STATISTICAL - MEDIAN" sheetId="93" r:id="rId51"/>
    <sheet name="FINANCIAL functions" sheetId="94" r:id="rId52"/>
    <sheet name="VlookUp" sheetId="14" state="hidden" r:id="rId53"/>
    <sheet name="Hlookup" sheetId="17" state="hidden" r:id="rId54"/>
    <sheet name="Transpose" sheetId="12" state="hidden" r:id="rId55"/>
  </sheets>
  <externalReferences>
    <externalReference r:id="rId56"/>
  </externalReferences>
  <definedNames>
    <definedName name="EastAndWest">[1]INDEX!$D$91:$G$93,[1]INDEX!$D$96:$G$98</definedName>
    <definedName name="NorthAndSouth">[1]INDEX!$D$67:$G$69,[1]INDEX!$D$72:$G$74</definedName>
    <definedName name="PeopleLists">[1]AREAS!$C$3:$D$6,[1]AREAS!$C$8:$D$11</definedName>
    <definedName name="UserChoice" localSheetId="18">#REF!</definedName>
    <definedName name="UserChoice" localSheetId="19">#REF!</definedName>
    <definedName name="UserChoice" localSheetId="22">#REF!</definedName>
    <definedName name="UserChoice" localSheetId="23">#REF!</definedName>
    <definedName name="UserChoice" localSheetId="21">#REF!</definedName>
    <definedName name="UserChoice" localSheetId="20">#REF!</definedName>
    <definedName name="UserChoice" localSheetId="25">#REF!</definedName>
    <definedName name="UserChoice" localSheetId="24">#REF!</definedName>
    <definedName name="UserChoice" localSheetId="51">#REF!</definedName>
    <definedName name="UserChoice" localSheetId="1">#REF!</definedName>
    <definedName name="UserChoice" localSheetId="4">#REF!</definedName>
    <definedName name="UserChoice" localSheetId="5">#REF!</definedName>
    <definedName name="UserChoice" localSheetId="2">#REF!</definedName>
    <definedName name="UserChoice" localSheetId="3">#REF!</definedName>
    <definedName name="UserChoice" localSheetId="29">#REF!</definedName>
    <definedName name="UserChoice" localSheetId="31">#REF!</definedName>
    <definedName name="UserChoice" localSheetId="30">#REF!</definedName>
    <definedName name="UserChoice" localSheetId="28">#REF!</definedName>
    <definedName name="UserChoice" localSheetId="38">#REF!</definedName>
    <definedName name="UserChoice" localSheetId="40">#REF!</definedName>
    <definedName name="UserChoice" localSheetId="39">#REF!</definedName>
    <definedName name="UserChoice" localSheetId="35">#REF!</definedName>
    <definedName name="UserChoice" localSheetId="36">#REF!</definedName>
    <definedName name="UserChoice" localSheetId="37">#REF!</definedName>
    <definedName name="UserChoice" localSheetId="32">#REF!</definedName>
    <definedName name="UserChoice" localSheetId="33">#REF!</definedName>
    <definedName name="UserChoice" localSheetId="34">#REF!</definedName>
    <definedName name="UserChoice" localSheetId="43">#REF!</definedName>
    <definedName name="UserChoice" localSheetId="49">#REF!</definedName>
    <definedName name="UserChoice" localSheetId="46">#REF!</definedName>
    <definedName name="UserChoice" localSheetId="47">#REF!</definedName>
    <definedName name="UserChoice" localSheetId="45">#REF!</definedName>
    <definedName name="UserChoice" localSheetId="42">#REF!</definedName>
    <definedName name="UserChoice" localSheetId="50">#REF!</definedName>
    <definedName name="UserChoice" localSheetId="41">#REF!</definedName>
    <definedName name="UserChoice" localSheetId="44">#REF!</definedName>
    <definedName name="UserChoice" localSheetId="48">#REF!</definedName>
    <definedName name="UserChoice" localSheetId="8">#REF!</definedName>
    <definedName name="UserChoice" localSheetId="6">#REF!</definedName>
    <definedName name="UserChoice" localSheetId="15">#REF!</definedName>
    <definedName name="UserChoice" localSheetId="14">#REF!</definedName>
    <definedName name="UserChoice" localSheetId="13">#REF!</definedName>
    <definedName name="UserChoice" localSheetId="17">#REF!</definedName>
    <definedName name="UserChoice" localSheetId="16">#REF!</definedName>
    <definedName name="UserChoice" localSheetId="10">#REF!</definedName>
    <definedName name="UserChoice" localSheetId="7">#REF!</definedName>
    <definedName name="UserChoice" localSheetId="9">#REF!</definedName>
    <definedName name="UserChoice" localSheetId="12">#REF!</definedName>
    <definedName name="UserChoice" localSheetId="11">#REF!</definedName>
    <definedName name="UserChoice" localSheetId="27">#REF!</definedName>
    <definedName name="UserChoice" localSheetId="26">#REF!</definedName>
    <definedName name="UserChoice">#REF!</definedName>
  </definedNames>
  <calcPr calcId="181029"/>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41" i="78" l="1"/>
  <c r="D41" i="78"/>
  <c r="B41" i="78"/>
  <c r="C42" i="78"/>
  <c r="D42" i="78"/>
  <c r="B42" i="78"/>
  <c r="I97" i="79"/>
  <c r="H97" i="79"/>
  <c r="G97" i="79"/>
  <c r="F97" i="79"/>
  <c r="E97" i="79"/>
  <c r="D97" i="79"/>
  <c r="C97" i="79"/>
  <c r="B97" i="79"/>
  <c r="D81" i="79"/>
  <c r="D82" i="79"/>
  <c r="D83" i="79"/>
  <c r="D84" i="79"/>
  <c r="D85" i="79"/>
  <c r="D80" i="79"/>
  <c r="C81" i="79"/>
  <c r="C82" i="79"/>
  <c r="C83" i="79"/>
  <c r="C84" i="79"/>
  <c r="C85" i="79"/>
  <c r="C80" i="79"/>
  <c r="B81" i="79"/>
  <c r="B82" i="79"/>
  <c r="B83" i="79"/>
  <c r="B84" i="79"/>
  <c r="B85" i="79"/>
  <c r="B80" i="79"/>
  <c r="E25" i="90"/>
  <c r="E26" i="90"/>
  <c r="E27" i="90"/>
  <c r="E24" i="90"/>
  <c r="F29" i="89"/>
  <c r="F28" i="89"/>
  <c r="F27" i="89"/>
  <c r="F26" i="89"/>
  <c r="D35" i="88"/>
  <c r="D36" i="88"/>
  <c r="D37" i="88"/>
  <c r="D34" i="88"/>
  <c r="D27" i="88"/>
  <c r="D28" i="88"/>
  <c r="D29" i="88"/>
  <c r="D26" i="88"/>
  <c r="E29" i="86"/>
  <c r="E28" i="86"/>
  <c r="E27" i="86"/>
  <c r="E26" i="86"/>
  <c r="E29" i="87"/>
  <c r="E28" i="87"/>
  <c r="E27" i="87"/>
  <c r="E26" i="87"/>
  <c r="E18" i="87"/>
  <c r="D23" i="85"/>
  <c r="D24" i="85"/>
  <c r="D25" i="85"/>
  <c r="D26" i="85"/>
  <c r="D24" i="84"/>
  <c r="D25" i="84"/>
  <c r="D26" i="84"/>
  <c r="D23" i="84"/>
  <c r="D24" i="83"/>
  <c r="D25" i="83"/>
  <c r="D26" i="83"/>
  <c r="D23" i="83"/>
  <c r="I52" i="77"/>
  <c r="H52" i="77"/>
  <c r="G52" i="77"/>
  <c r="F52" i="77"/>
  <c r="E52" i="77"/>
  <c r="D52" i="77"/>
  <c r="C52" i="77"/>
  <c r="E100" i="76"/>
  <c r="I100" i="76"/>
  <c r="H100" i="76"/>
  <c r="D100" i="76"/>
  <c r="C100" i="76"/>
  <c r="G100" i="76"/>
  <c r="F100" i="76"/>
  <c r="B100" i="76"/>
  <c r="C27" i="82"/>
  <c r="C28" i="82"/>
  <c r="C29" i="82"/>
  <c r="C26" i="82"/>
  <c r="B24" i="81"/>
  <c r="B25" i="81"/>
  <c r="B26" i="81"/>
  <c r="B23" i="81"/>
  <c r="B24" i="80"/>
  <c r="B25" i="80"/>
  <c r="B26" i="80"/>
  <c r="B23" i="80"/>
  <c r="C29" i="75"/>
  <c r="C28" i="75"/>
  <c r="C27" i="75"/>
  <c r="C26" i="75"/>
  <c r="C70" i="72"/>
  <c r="C69" i="72"/>
  <c r="D55" i="72"/>
  <c r="G77" i="70"/>
  <c r="G78" i="70"/>
  <c r="G79" i="70"/>
  <c r="G80" i="70"/>
  <c r="G66" i="70"/>
  <c r="G67" i="70"/>
  <c r="G68" i="70"/>
  <c r="G69" i="70"/>
  <c r="G65" i="70"/>
  <c r="F56" i="70"/>
  <c r="F57" i="70"/>
  <c r="F58" i="70"/>
  <c r="F55" i="70"/>
  <c r="D89" i="71"/>
  <c r="D71" i="71"/>
  <c r="B52" i="77"/>
  <c r="D84" i="76"/>
  <c r="D85" i="76"/>
  <c r="D86" i="76"/>
  <c r="D87" i="76"/>
  <c r="D88" i="76"/>
  <c r="D83" i="76"/>
  <c r="C84" i="76"/>
  <c r="C85" i="76"/>
  <c r="C86" i="76"/>
  <c r="C87" i="76"/>
  <c r="C88" i="76"/>
  <c r="C83" i="76"/>
  <c r="B84" i="76"/>
  <c r="B85" i="76"/>
  <c r="B86" i="76"/>
  <c r="B87" i="76"/>
  <c r="B88" i="76"/>
  <c r="B83" i="76"/>
  <c r="C23" i="69"/>
  <c r="C24" i="69"/>
  <c r="C22" i="69"/>
  <c r="C23" i="68"/>
  <c r="C24" i="68"/>
  <c r="C22" i="68"/>
  <c r="C38" i="67"/>
  <c r="C39" i="67"/>
  <c r="C40" i="67"/>
  <c r="C41" i="67"/>
  <c r="C42" i="67"/>
  <c r="C43" i="67"/>
  <c r="C37" i="67"/>
  <c r="B38" i="67"/>
  <c r="B39" i="67"/>
  <c r="B40" i="67"/>
  <c r="B41" i="67"/>
  <c r="B42" i="67"/>
  <c r="B43" i="67"/>
  <c r="B37" i="67"/>
  <c r="C29" i="67"/>
  <c r="C30" i="67"/>
  <c r="C28" i="67"/>
  <c r="B31" i="66"/>
  <c r="B30" i="66"/>
  <c r="B32" i="66"/>
  <c r="B33" i="66"/>
  <c r="B34" i="66"/>
  <c r="B35" i="66"/>
  <c r="D23" i="66"/>
  <c r="F23" i="66" s="1"/>
  <c r="D22" i="66"/>
  <c r="F22" i="66" s="1"/>
  <c r="D23" i="65"/>
  <c r="F23" i="65" s="1"/>
  <c r="D22" i="65"/>
  <c r="F22" i="65" s="1"/>
  <c r="D23" i="64"/>
  <c r="F23" i="64" s="1"/>
  <c r="D22" i="64"/>
  <c r="F22" i="64" s="1"/>
  <c r="D22" i="63"/>
  <c r="D21" i="63"/>
  <c r="B22" i="62"/>
  <c r="B23" i="62"/>
  <c r="B24" i="62"/>
  <c r="B21" i="62"/>
  <c r="B23" i="61"/>
  <c r="B24" i="61"/>
  <c r="B25" i="61"/>
  <c r="B26" i="61"/>
  <c r="E39" i="60"/>
  <c r="E40" i="60"/>
  <c r="E41" i="60"/>
  <c r="E38" i="60"/>
  <c r="D39" i="60"/>
  <c r="D40" i="60"/>
  <c r="D41" i="60"/>
  <c r="D38" i="60"/>
  <c r="C39" i="60"/>
  <c r="C40" i="60"/>
  <c r="C41" i="60"/>
  <c r="C38" i="60"/>
  <c r="B39" i="60"/>
  <c r="B40" i="60"/>
  <c r="B41" i="60"/>
  <c r="B38" i="60"/>
  <c r="D31" i="60"/>
  <c r="D32" i="60"/>
  <c r="D33" i="60"/>
  <c r="D30" i="60"/>
  <c r="E33" i="59"/>
  <c r="E32" i="59"/>
  <c r="E31" i="59"/>
  <c r="E30" i="59"/>
  <c r="E35" i="58"/>
  <c r="E34" i="58"/>
  <c r="E29" i="58"/>
  <c r="E28" i="58"/>
  <c r="E35" i="57"/>
  <c r="E29" i="57"/>
  <c r="E34" i="57"/>
  <c r="E28" i="57"/>
  <c r="C25" i="56"/>
  <c r="C24" i="56"/>
  <c r="C29" i="55"/>
  <c r="C30" i="55"/>
  <c r="C28" i="55"/>
  <c r="C23" i="55"/>
  <c r="C22" i="55"/>
  <c r="C29" i="54"/>
  <c r="C28" i="54"/>
  <c r="C30" i="54"/>
  <c r="C23" i="54"/>
  <c r="C22" i="54"/>
  <c r="C23" i="53"/>
  <c r="C24" i="53"/>
  <c r="C22" i="53"/>
  <c r="E42" i="52"/>
  <c r="E41" i="52"/>
  <c r="E40" i="52"/>
  <c r="E39" i="52"/>
  <c r="F28" i="51"/>
  <c r="F27" i="51"/>
  <c r="F25" i="51"/>
  <c r="C35" i="49"/>
  <c r="C36" i="49"/>
  <c r="C37" i="49"/>
  <c r="C38" i="49"/>
  <c r="C34" i="49"/>
  <c r="F26" i="51"/>
  <c r="F39" i="50"/>
  <c r="F40" i="50"/>
  <c r="F41" i="50"/>
  <c r="F38" i="50"/>
  <c r="F36" i="50"/>
  <c r="F37" i="50"/>
  <c r="F35" i="50"/>
  <c r="C35" i="41" l="1"/>
  <c r="C36" i="41"/>
  <c r="C37" i="41"/>
  <c r="C34" i="41"/>
  <c r="C30" i="48" l="1"/>
  <c r="C31" i="48"/>
  <c r="C32" i="48"/>
  <c r="C29" i="48"/>
  <c r="D28" i="47"/>
  <c r="D29" i="47"/>
  <c r="D30" i="47"/>
  <c r="D27" i="47"/>
  <c r="D40" i="45"/>
  <c r="D41" i="45"/>
  <c r="D42" i="45"/>
  <c r="D39" i="45"/>
  <c r="E39" i="44"/>
  <c r="E40" i="44"/>
  <c r="E41" i="44"/>
  <c r="E38" i="44"/>
  <c r="G37" i="43"/>
  <c r="G38" i="43"/>
  <c r="G39" i="43"/>
  <c r="G36" i="43"/>
  <c r="E36" i="42"/>
  <c r="E37" i="42"/>
  <c r="E38" i="42"/>
  <c r="E39" i="42"/>
  <c r="A18" i="74" l="1"/>
  <c r="A15" i="73"/>
  <c r="D20" i="70"/>
  <c r="D19" i="70"/>
  <c r="D18" i="70"/>
  <c r="A15" i="63"/>
  <c r="A16" i="62"/>
  <c r="A15" i="62"/>
  <c r="B16" i="61"/>
  <c r="B15" i="61"/>
  <c r="C20" i="44"/>
  <c r="C21" i="44"/>
  <c r="C22" i="44"/>
  <c r="C20" i="42"/>
  <c r="C19" i="42"/>
  <c r="C23" i="41"/>
  <c r="C24" i="41"/>
  <c r="C25" i="41"/>
  <c r="C22" i="41"/>
  <c r="B19" i="49" l="1"/>
  <c r="B102" i="94"/>
  <c r="B76" i="94"/>
  <c r="B79" i="94" s="1"/>
  <c r="B50" i="94"/>
  <c r="B53" i="94" s="1"/>
  <c r="B24" i="94"/>
  <c r="B27" i="94" s="1"/>
  <c r="I15" i="93"/>
  <c r="C15" i="93"/>
  <c r="D17" i="92"/>
  <c r="E19" i="90"/>
  <c r="E18" i="90"/>
  <c r="E17" i="90"/>
  <c r="E16" i="90"/>
  <c r="F21" i="89"/>
  <c r="F20" i="89"/>
  <c r="F19" i="89"/>
  <c r="F18" i="89"/>
  <c r="D21" i="88"/>
  <c r="D20" i="88"/>
  <c r="D19" i="88"/>
  <c r="D18" i="88"/>
  <c r="B105" i="94" l="1"/>
  <c r="E21" i="87"/>
  <c r="E20" i="87"/>
  <c r="E19" i="87"/>
  <c r="E19" i="86"/>
  <c r="E20" i="86"/>
  <c r="E21" i="86"/>
  <c r="E18" i="86"/>
  <c r="D18" i="85"/>
  <c r="D17" i="85"/>
  <c r="D16" i="85"/>
  <c r="D15" i="85"/>
  <c r="D18" i="84"/>
  <c r="D17" i="84"/>
  <c r="D16" i="84"/>
  <c r="D15" i="84"/>
  <c r="D18" i="83"/>
  <c r="D17" i="83"/>
  <c r="D16" i="83"/>
  <c r="D15" i="83"/>
  <c r="C21" i="82"/>
  <c r="C20" i="82"/>
  <c r="C19" i="82"/>
  <c r="C18" i="82"/>
  <c r="B18" i="81"/>
  <c r="B17" i="81"/>
  <c r="B16" i="81"/>
  <c r="B15" i="81"/>
  <c r="B18" i="80"/>
  <c r="B17" i="80"/>
  <c r="B16" i="80"/>
  <c r="B15" i="80"/>
  <c r="D55" i="79" l="1"/>
  <c r="C55" i="79"/>
  <c r="D54" i="79"/>
  <c r="C54" i="79"/>
  <c r="D53" i="79"/>
  <c r="C53" i="79"/>
  <c r="D52" i="79"/>
  <c r="C52" i="79"/>
  <c r="D51" i="79"/>
  <c r="C51" i="79"/>
  <c r="C36" i="79"/>
  <c r="C35" i="79"/>
  <c r="C34" i="79"/>
  <c r="C33" i="79"/>
  <c r="C32" i="79"/>
  <c r="C31" i="79"/>
  <c r="C30" i="79"/>
  <c r="C29" i="79"/>
  <c r="E51" i="79" l="1"/>
  <c r="E52" i="79"/>
  <c r="E54" i="79"/>
  <c r="E53" i="79"/>
  <c r="B29" i="78" a="1"/>
  <c r="C29" i="78" s="1"/>
  <c r="B28" i="78" a="1"/>
  <c r="B28" i="78" s="1"/>
  <c r="C36" i="77"/>
  <c r="C35" i="77"/>
  <c r="C34" i="77"/>
  <c r="C33" i="77"/>
  <c r="C32" i="77"/>
  <c r="C31" i="77"/>
  <c r="C30" i="77"/>
  <c r="C29" i="77"/>
  <c r="C58" i="76"/>
  <c r="D58" i="76"/>
  <c r="D57" i="76"/>
  <c r="D56" i="76"/>
  <c r="D55" i="76"/>
  <c r="D54" i="76"/>
  <c r="C57" i="76"/>
  <c r="C56" i="76"/>
  <c r="C55" i="76"/>
  <c r="C54" i="76"/>
  <c r="C39" i="76"/>
  <c r="C38" i="76"/>
  <c r="C37" i="76"/>
  <c r="C36" i="76"/>
  <c r="C35" i="76"/>
  <c r="C34" i="76"/>
  <c r="C33" i="76"/>
  <c r="C32" i="76"/>
  <c r="B21" i="75"/>
  <c r="B20" i="75"/>
  <c r="B19" i="75"/>
  <c r="B29" i="78" l="1"/>
  <c r="D29" i="78"/>
  <c r="D28" i="78"/>
  <c r="C28" i="78"/>
  <c r="E56" i="76"/>
  <c r="E57" i="76"/>
  <c r="E54" i="76"/>
  <c r="E55" i="76"/>
  <c r="B18" i="75"/>
  <c r="A23" i="74"/>
  <c r="A22" i="74"/>
  <c r="A21" i="74"/>
  <c r="A20" i="74"/>
  <c r="A19" i="74"/>
  <c r="A20" i="73"/>
  <c r="A19" i="73"/>
  <c r="A18" i="73"/>
  <c r="A17" i="73"/>
  <c r="A16" i="73"/>
  <c r="C41" i="72" l="1"/>
  <c r="C40" i="72"/>
  <c r="C26" i="72"/>
  <c r="C53" i="71"/>
  <c r="C35" i="71"/>
  <c r="C34" i="71"/>
  <c r="G76" i="70"/>
  <c r="F54" i="70"/>
  <c r="D34" i="70"/>
  <c r="E28" i="70"/>
  <c r="D28" i="70"/>
  <c r="C28" i="70"/>
  <c r="B28" i="70"/>
  <c r="C17" i="69"/>
  <c r="C16" i="69"/>
  <c r="A15" i="69"/>
  <c r="C15" i="69" s="1"/>
  <c r="C17" i="68"/>
  <c r="C16" i="68"/>
  <c r="A15" i="68"/>
  <c r="C15" i="68" s="1"/>
  <c r="B36" i="67"/>
  <c r="C36" i="67" s="1"/>
  <c r="A23" i="67"/>
  <c r="C23" i="67" s="1"/>
  <c r="A22" i="67"/>
  <c r="C22" i="67" s="1"/>
  <c r="A21" i="67"/>
  <c r="C21" i="67" s="1"/>
  <c r="A20" i="67"/>
  <c r="C20" i="67" s="1"/>
  <c r="B29" i="66"/>
  <c r="C17" i="66"/>
  <c r="C16" i="66"/>
  <c r="C17" i="65"/>
  <c r="C16" i="65"/>
  <c r="A17" i="64"/>
  <c r="C17" i="64" s="1"/>
  <c r="A16" i="64"/>
  <c r="C16" i="64" s="1"/>
  <c r="A16" i="63"/>
  <c r="B17" i="61" l="1"/>
  <c r="B18" i="61"/>
  <c r="C23" i="58"/>
  <c r="C23" i="57"/>
  <c r="D25" i="60"/>
  <c r="D24" i="60"/>
  <c r="D23" i="60"/>
  <c r="D22" i="60"/>
  <c r="C25" i="59"/>
  <c r="C24" i="59"/>
  <c r="C23" i="59"/>
  <c r="C22" i="59"/>
  <c r="C22" i="58"/>
  <c r="C21" i="58"/>
  <c r="C20" i="58"/>
  <c r="C19" i="58"/>
  <c r="C21" i="57" l="1"/>
  <c r="C20" i="57"/>
  <c r="C19" i="57"/>
  <c r="C22" i="57"/>
  <c r="C19" i="56"/>
  <c r="C18" i="56"/>
  <c r="C17" i="56"/>
  <c r="C16" i="56"/>
  <c r="C17" i="55"/>
  <c r="C16" i="55"/>
  <c r="C15" i="55"/>
  <c r="C17" i="54"/>
  <c r="C16" i="54"/>
  <c r="C15" i="54"/>
  <c r="B17" i="53"/>
  <c r="B16" i="53"/>
  <c r="B15" i="53"/>
  <c r="E30" i="52"/>
  <c r="E29" i="52"/>
  <c r="E28" i="52"/>
  <c r="E27" i="52"/>
  <c r="E26" i="52"/>
  <c r="B20" i="47"/>
  <c r="B19" i="47"/>
  <c r="B19" i="51" l="1"/>
  <c r="B18" i="51"/>
  <c r="B17" i="51"/>
  <c r="B16" i="51"/>
  <c r="D26" i="50"/>
  <c r="D25" i="50"/>
  <c r="D24" i="50"/>
  <c r="D23" i="50"/>
  <c r="D22" i="50"/>
  <c r="D21" i="50"/>
  <c r="D20" i="50"/>
  <c r="B25" i="49"/>
  <c r="B24" i="49"/>
  <c r="B23" i="49"/>
  <c r="B22" i="49"/>
  <c r="B21" i="49"/>
  <c r="B20" i="49"/>
  <c r="B18" i="49"/>
  <c r="C20" i="48"/>
  <c r="C19" i="48"/>
  <c r="E32" i="45"/>
  <c r="E31" i="45"/>
  <c r="E30" i="45"/>
  <c r="E29" i="45"/>
  <c r="C32" i="45"/>
  <c r="C31" i="45"/>
  <c r="C30" i="45"/>
  <c r="C29" i="45"/>
  <c r="E20" i="45"/>
  <c r="E19" i="45"/>
  <c r="C20" i="45"/>
  <c r="C19" i="45"/>
  <c r="D31" i="44"/>
  <c r="D30" i="44"/>
  <c r="D29" i="44"/>
  <c r="D28" i="44"/>
  <c r="F29" i="43" l="1"/>
  <c r="F28" i="43"/>
  <c r="F27" i="43"/>
  <c r="F26" i="43"/>
  <c r="D29" i="42"/>
  <c r="D28" i="42"/>
  <c r="D27" i="42"/>
  <c r="D26" i="42"/>
  <c r="A1" i="17" l="1"/>
  <c r="F123" i="14"/>
  <c r="E123" i="14"/>
  <c r="F122" i="14"/>
  <c r="E122" i="14"/>
  <c r="F121" i="14"/>
  <c r="E121" i="14"/>
  <c r="F120" i="14"/>
  <c r="E120" i="14"/>
  <c r="F119" i="14"/>
  <c r="E119" i="14"/>
  <c r="F118" i="14"/>
  <c r="E118" i="14"/>
  <c r="D78" i="14"/>
  <c r="D77" i="14"/>
  <c r="D76" i="14"/>
  <c r="D75" i="14"/>
  <c r="D74" i="14"/>
  <c r="D73" i="14"/>
  <c r="D72" i="14"/>
  <c r="D71" i="14"/>
  <c r="F56" i="14"/>
  <c r="G14" i="14"/>
  <c r="A1" i="14"/>
  <c r="B14" i="12" a="1"/>
  <c r="B14" i="12" s="1"/>
  <c r="B13" i="12" a="1"/>
  <c r="C13" i="12" s="1"/>
  <c r="B12" i="12" a="1"/>
  <c r="D12" i="12" s="1"/>
  <c r="A1" i="12"/>
  <c r="G119" i="14" l="1"/>
  <c r="G122" i="14"/>
  <c r="G123" i="14"/>
  <c r="C14" i="12"/>
  <c r="G121" i="14"/>
  <c r="B13" i="12"/>
  <c r="D13" i="12"/>
  <c r="G118" i="14"/>
  <c r="G120" i="14"/>
  <c r="B12" i="12"/>
  <c r="E13" i="12"/>
  <c r="D14" i="12"/>
  <c r="E12" i="12"/>
  <c r="C12" i="12"/>
  <c r="E14" i="12"/>
</calcChain>
</file>

<file path=xl/sharedStrings.xml><?xml version="1.0" encoding="utf-8"?>
<sst xmlns="http://schemas.openxmlformats.org/spreadsheetml/2006/main" count="2486" uniqueCount="1058">
  <si>
    <t>OR</t>
  </si>
  <si>
    <t>Total</t>
  </si>
  <si>
    <t>A</t>
  </si>
  <si>
    <t>B</t>
  </si>
  <si>
    <t>C</t>
  </si>
  <si>
    <t>D</t>
  </si>
  <si>
    <t>What Does It Do ?</t>
  </si>
  <si>
    <t>The TRANSPOSE function copies data from vertical cells to horizontal or vice versa</t>
  </si>
  <si>
    <t>Cust ID</t>
  </si>
  <si>
    <t>Jan</t>
  </si>
  <si>
    <t>Feb</t>
  </si>
  <si>
    <t>A001</t>
  </si>
  <si>
    <t>A002</t>
  </si>
  <si>
    <t>A003</t>
  </si>
  <si>
    <t xml:space="preserve"> {=TRANSPOSE(C3:E7)}</t>
  </si>
  <si>
    <t>As an array formula in all these cells</t>
  </si>
  <si>
    <t>This function copies data from a range, and places in it in a new range, turning it so that the data originally in columns is now in rows, and the data originally in rows is in columns.</t>
  </si>
  <si>
    <t>The transpose range must be the same size as the original range.</t>
  </si>
  <si>
    <t>The function needs to be entered as an array formula.</t>
  </si>
  <si>
    <t>To enter an array formula you must first highlight all the cells where the formula is required.</t>
  </si>
  <si>
    <t>Next type the formula, such as =TRANSPOSE(A1:A5).</t>
  </si>
  <si>
    <t>Finally press Ctrl+Shift+Enter to confirm it.</t>
  </si>
  <si>
    <t>If changes need to be made to the formula, the entire array has to be highlighted, the edits can then be made and the Ctrl+Shift+Enter used to confirm it.</t>
  </si>
  <si>
    <t>The curly braces " { } " surrounding the function indicate that it is an array formula</t>
  </si>
  <si>
    <t>Syntax</t>
  </si>
  <si>
    <t>=TRANSPOSE(Range)</t>
  </si>
  <si>
    <t>Months</t>
  </si>
  <si>
    <t>Stock A</t>
  </si>
  <si>
    <t>Stock B</t>
  </si>
  <si>
    <t>Stock C</t>
  </si>
  <si>
    <t>Stock D</t>
  </si>
  <si>
    <t>Stock E</t>
  </si>
  <si>
    <t>Mar</t>
  </si>
  <si>
    <t xml:space="preserve">Type a month to look for : </t>
  </si>
  <si>
    <t xml:space="preserve">Which column needs to be picked out : </t>
  </si>
  <si>
    <t xml:space="preserve">The result is : </t>
  </si>
  <si>
    <t xml:space="preserve"> =VLOOKUP(G11,C6:H8,G12,FALSE)</t>
  </si>
  <si>
    <t>This function scans down the row headings at the side of a table to find a specified item.</t>
  </si>
  <si>
    <t>When the item is found, it then scans across to pick a cell entry.</t>
  </si>
  <si>
    <t>=VLOOKUP(ItemToFind,RangeToLookIn,ColumnToPickFrom,SortedOrUnsorted)</t>
  </si>
  <si>
    <t>The ItemToFind is a single item specified by the user.</t>
  </si>
  <si>
    <t>The RangeToLookIn is the range of data with the row headings at the left hand side.</t>
  </si>
  <si>
    <t>The ColumnToPickFrom is how far across the table the function should look to pick from.</t>
  </si>
  <si>
    <t>The Sorted/Unsorted is whether the column headings are sorted. TRUE for yes, FALSE for no.</t>
  </si>
  <si>
    <t>Example 1</t>
  </si>
  <si>
    <t>This table is used to find a value based on a specified name and month.</t>
  </si>
  <si>
    <t>The =VLOOKUP() is used to scan down to find the name.</t>
  </si>
  <si>
    <t>Code</t>
  </si>
  <si>
    <t>Example</t>
  </si>
  <si>
    <t>Result</t>
  </si>
  <si>
    <t>The problem arises when we need to scan across to find the month column.</t>
  </si>
  <si>
    <t>C132</t>
  </si>
  <si>
    <t>VLOOKUP(H4,$A$3:$F$9,6,FALSE)</t>
  </si>
  <si>
    <t>£349.30</t>
  </si>
  <si>
    <t>To solve the problem the =MATCH() function is used.</t>
  </si>
  <si>
    <t>C134</t>
  </si>
  <si>
    <t>VLOOKUP(H4,$A$3:$F$9,2)</t>
  </si>
  <si>
    <t>Product E</t>
  </si>
  <si>
    <t>C138</t>
  </si>
  <si>
    <t>VLOOKUP(H4,$A$3:$F$9,5)</t>
  </si>
  <si>
    <t>The =MATCH() looks through the list of names to find the month we require. It then calculates</t>
  </si>
  <si>
    <t>VLOOKUP(H4,$B$3:$F$9,5,FALSE)</t>
  </si>
  <si>
    <t>the position of the month in the list. Unfortunately, because the list of months is not as wide</t>
  </si>
  <si>
    <t>as the lookup range, the =MATCH() number is 1 less than we require, so and extra 1 is</t>
  </si>
  <si>
    <t>added to compensate.</t>
  </si>
  <si>
    <t>The =VLOOKUP() now uses this =MATCH() number to look across the columns and</t>
  </si>
  <si>
    <t>picks out the correct cell entry.</t>
  </si>
  <si>
    <t>The =VLOOKUP() uses FALSE at the end of the function to indicate to Excel that the</t>
  </si>
  <si>
    <t>row headings are not sorted.</t>
  </si>
  <si>
    <t>Bob</t>
  </si>
  <si>
    <t>Eric</t>
  </si>
  <si>
    <t>Alan</t>
  </si>
  <si>
    <t>Carol</t>
  </si>
  <si>
    <t>David</t>
  </si>
  <si>
    <t xml:space="preserve">Type a name to look for : </t>
  </si>
  <si>
    <t>eric</t>
  </si>
  <si>
    <t>mar</t>
  </si>
  <si>
    <t xml:space="preserve"> =VLOOKUP(F56,C50:F54,MATCH(F57,D49:F49,0)+1,FALSE)</t>
  </si>
  <si>
    <t>Example 2</t>
  </si>
  <si>
    <t>This example shows how the =VLOOKUP() is used to pick the cost of a spare part for</t>
  </si>
  <si>
    <t>different makes of cars.</t>
  </si>
  <si>
    <t>The =VLOOKUP() scans down row headings in column F for the spare part entered in column C.</t>
  </si>
  <si>
    <t>When the make is found, the =VLOOKUP() then scans across to find the price, using the</t>
  </si>
  <si>
    <t>result of the =MATCH() function to find the position of the make of car.</t>
  </si>
  <si>
    <t>The functions use the absolute ranges indicated by the dollar symbol . This ensures that</t>
  </si>
  <si>
    <t>when the formula is copied to more cells, the ranges for =VLOOKUP() and =MATCH() do</t>
  </si>
  <si>
    <t>not change.</t>
  </si>
  <si>
    <t>Maker</t>
  </si>
  <si>
    <t>Spare</t>
  </si>
  <si>
    <t>Cost</t>
  </si>
  <si>
    <t>Lookup Table</t>
  </si>
  <si>
    <t>Vauxhall</t>
  </si>
  <si>
    <t>Ignition</t>
  </si>
  <si>
    <t>Ford</t>
  </si>
  <si>
    <t>VW</t>
  </si>
  <si>
    <t>GearBox</t>
  </si>
  <si>
    <t>Engine</t>
  </si>
  <si>
    <t>Steering</t>
  </si>
  <si>
    <t>CYHead</t>
  </si>
  <si>
    <t xml:space="preserve"> =VLOOKUP(C81,F75:I79,MATCH(B81,G74:I74,0)+1,FALSE)</t>
  </si>
  <si>
    <t>Example 3</t>
  </si>
  <si>
    <t>In the following example a builders merchant is offering discount on large orders.</t>
  </si>
  <si>
    <t>The Unit Cost Table holds the cost of 1 unit of Brick, Wood and Glass.</t>
  </si>
  <si>
    <t>The Discount Table holds the various discounts for different quantities of each product.</t>
  </si>
  <si>
    <t>The Orders Table is used to enter the orders and calculate the Total.</t>
  </si>
  <si>
    <t>All the calculations take place in the Orders Table.</t>
  </si>
  <si>
    <t>The name of the Item is typed in column C of the Orders Table.</t>
  </si>
  <si>
    <t>The Unit Cost of the item is then looked up in the Unit Cost Table.</t>
  </si>
  <si>
    <t xml:space="preserve">   The FALSE option has been used at the end of the function to indicate that the product</t>
  </si>
  <si>
    <t xml:space="preserve">   names down the side of the Unit Cost Table are not sorted.</t>
  </si>
  <si>
    <t xml:space="preserve">   Using the FALSE option forces the function to search for an exact match. If a match is</t>
  </si>
  <si>
    <t xml:space="preserve">   not found, the function will produce an error.</t>
  </si>
  <si>
    <t xml:space="preserve">   =VLOOKUP(C126,C114:D116,2,FALSE)</t>
  </si>
  <si>
    <t>The discount is then looked up in the Discount Table</t>
  </si>
  <si>
    <t>If the Quantity Ordered matches a value at the side of the Discount Table the =VLOOKUP will</t>
  </si>
  <si>
    <t>look across to find the correct discount.</t>
  </si>
  <si>
    <t xml:space="preserve">   The TRUE option has been used at the end of the function to indicate that the values</t>
  </si>
  <si>
    <t xml:space="preserve">   down the side of the Discount Table are sorted.</t>
  </si>
  <si>
    <t xml:space="preserve">   Using TRUE will allow the function to make an approximate match. If  the Quantity Ordered does</t>
  </si>
  <si>
    <t xml:space="preserve">   not match a value at the side of the Discount Table, the next lowest value is used. </t>
  </si>
  <si>
    <t xml:space="preserve">   Trying to match an order of 125 will drop down to 100, and the discount from</t>
  </si>
  <si>
    <t xml:space="preserve">   the 100 row is used.</t>
  </si>
  <si>
    <t xml:space="preserve">   =VLOOKUP(D126,F114:I116,MATCH(C126,G113:I113,0)+1,TRUE)</t>
  </si>
  <si>
    <t>Discount Table</t>
  </si>
  <si>
    <t>Unit Cost Table</t>
  </si>
  <si>
    <t>Brick</t>
  </si>
  <si>
    <t>Wood</t>
  </si>
  <si>
    <t>Glass</t>
  </si>
  <si>
    <t>Orders Table</t>
  </si>
  <si>
    <t>Item</t>
  </si>
  <si>
    <t>Units</t>
  </si>
  <si>
    <t>Unit Cost</t>
  </si>
  <si>
    <t>Discount</t>
  </si>
  <si>
    <t>Formula for :</t>
  </si>
  <si>
    <t xml:space="preserve"> =VLOOKUP(C126,C114:D116,2,FALSE)</t>
  </si>
  <si>
    <t xml:space="preserve"> =VLOOKUP(D126,F114:I116,MATCH(C126,G113:I113,0)+1,TRUE)</t>
  </si>
  <si>
    <t xml:space="preserve"> =(D126*E126)-(D126*E126*F126)</t>
  </si>
  <si>
    <t>Table 1</t>
  </si>
  <si>
    <t>Table 2</t>
  </si>
  <si>
    <t>HLOOKUP(I3,$A$2:$G$7,6,FALSE)</t>
  </si>
  <si>
    <t>HLOOKUP(I3,$A$2:$G$7,2)</t>
  </si>
  <si>
    <t>HLOOKUP(I3,$A$2:$G$7,5)</t>
  </si>
  <si>
    <t>HLOOKUP(I3,$A$3:$G$7,5,FALSE)</t>
  </si>
  <si>
    <t>Number</t>
  </si>
  <si>
    <t>Date</t>
  </si>
  <si>
    <t>Text</t>
  </si>
  <si>
    <t>Month</t>
  </si>
  <si>
    <t>Grade</t>
  </si>
  <si>
    <t>Fail</t>
  </si>
  <si>
    <t>Pass</t>
  </si>
  <si>
    <t>TEXT</t>
  </si>
  <si>
    <t>TRIM</t>
  </si>
  <si>
    <t>LEFT</t>
  </si>
  <si>
    <t>Sales</t>
  </si>
  <si>
    <t>Commission</t>
  </si>
  <si>
    <t>Value</t>
  </si>
  <si>
    <t>Note</t>
  </si>
  <si>
    <t>AND</t>
  </si>
  <si>
    <t>IF</t>
  </si>
  <si>
    <t>IFERROR</t>
  </si>
  <si>
    <t>EXACT</t>
  </si>
  <si>
    <t>CONCATENATE</t>
  </si>
  <si>
    <t>SUBSTITUTE</t>
  </si>
  <si>
    <t>VALUE</t>
  </si>
  <si>
    <t>UPPER</t>
  </si>
  <si>
    <t>LOWER</t>
  </si>
  <si>
    <t>RIGHT</t>
  </si>
  <si>
    <t>MID</t>
  </si>
  <si>
    <t>LEN</t>
  </si>
  <si>
    <t>DATE</t>
  </si>
  <si>
    <t>DATEVALUE</t>
  </si>
  <si>
    <t>TODAY</t>
  </si>
  <si>
    <t>NOW</t>
  </si>
  <si>
    <t>DAY</t>
  </si>
  <si>
    <t>MONTH</t>
  </si>
  <si>
    <t>YEAR</t>
  </si>
  <si>
    <t>WEEKDAY</t>
  </si>
  <si>
    <t>MINUTE</t>
  </si>
  <si>
    <t>HOUR</t>
  </si>
  <si>
    <t>VLOOKUP</t>
  </si>
  <si>
    <t>TRANSPOSE</t>
  </si>
  <si>
    <t>HLOOKUP</t>
  </si>
  <si>
    <t>MATCH</t>
  </si>
  <si>
    <t>SUM</t>
  </si>
  <si>
    <t>SUMIF</t>
  </si>
  <si>
    <t>SUMPRODUCT</t>
  </si>
  <si>
    <t>RAND</t>
  </si>
  <si>
    <t>ROUND</t>
  </si>
  <si>
    <t>EVEN</t>
  </si>
  <si>
    <t>MOD</t>
  </si>
  <si>
    <t>MIN</t>
  </si>
  <si>
    <t>MAX</t>
  </si>
  <si>
    <t>AVERAGE</t>
  </si>
  <si>
    <t>SMALL</t>
  </si>
  <si>
    <t>LARGE</t>
  </si>
  <si>
    <t>COUNT</t>
  </si>
  <si>
    <t>COUNTIF</t>
  </si>
  <si>
    <t>CORREL</t>
  </si>
  <si>
    <t>MEDIAN</t>
  </si>
  <si>
    <t>PMT</t>
  </si>
  <si>
    <t>NPER</t>
  </si>
  <si>
    <t>PV</t>
  </si>
  <si>
    <t>FV</t>
  </si>
  <si>
    <t>What does it do?</t>
  </si>
  <si>
    <t>It checks whether a condition is true or not and on the basis of that returns a value</t>
  </si>
  <si>
    <t>If the logical test holds, then excel will return this value</t>
  </si>
  <si>
    <t>If the logical test does not hold, then excel will return this value</t>
  </si>
  <si>
    <t>Student ID</t>
  </si>
  <si>
    <t>S001</t>
  </si>
  <si>
    <t>S002</t>
  </si>
  <si>
    <t>S003</t>
  </si>
  <si>
    <t>S004</t>
  </si>
  <si>
    <t>Marks</t>
  </si>
  <si>
    <t>Pass or Fail</t>
  </si>
  <si>
    <t xml:space="preserve"> =IF(B22&gt;=40,"Pass","Fail")</t>
  </si>
  <si>
    <t xml:space="preserve"> =IF(B23&gt;=40,"Pass","Fail")</t>
  </si>
  <si>
    <t xml:space="preserve"> =IF(B24&gt;=40,"Pass","Fail")</t>
  </si>
  <si>
    <t>Formula</t>
  </si>
  <si>
    <t>Using IF formula to identify if a student has passed an exam or not</t>
  </si>
  <si>
    <t>Emp ID</t>
  </si>
  <si>
    <t>E001</t>
  </si>
  <si>
    <t>E002</t>
  </si>
  <si>
    <t>E003</t>
  </si>
  <si>
    <t>E004</t>
  </si>
  <si>
    <t>Designation</t>
  </si>
  <si>
    <t>AVP</t>
  </si>
  <si>
    <t>Analyst</t>
  </si>
  <si>
    <t>Salary</t>
  </si>
  <si>
    <t>Write a formula using IF. Salary for an AVP will be $2,000 and for an analyst will be $1,000</t>
  </si>
  <si>
    <t xml:space="preserve"> =if(Logical_Test, [value_if_true], [value_if_false])</t>
  </si>
  <si>
    <t>Logical_Test</t>
  </si>
  <si>
    <t>Value_if_True</t>
  </si>
  <si>
    <t>Value_if_False</t>
  </si>
  <si>
    <t>Score</t>
  </si>
  <si>
    <t>41-70</t>
  </si>
  <si>
    <t>Exercise</t>
  </si>
  <si>
    <t>Increment</t>
  </si>
  <si>
    <r>
      <t xml:space="preserve">If instead of marks, we had Grades A, B, C i.e. </t>
    </r>
    <r>
      <rPr>
        <sz val="11"/>
        <color rgb="FFFF0000"/>
        <rFont val="Calibri"/>
        <family val="2"/>
        <scheme val="minor"/>
      </rPr>
      <t>text values</t>
    </r>
    <r>
      <rPr>
        <sz val="11"/>
        <color theme="1"/>
        <rFont val="Calibri"/>
        <family val="2"/>
        <scheme val="minor"/>
      </rPr>
      <t xml:space="preserve"> then the above formulas would have changed by 
IF(B21</t>
    </r>
    <r>
      <rPr>
        <sz val="11"/>
        <color rgb="FFFF0000"/>
        <rFont val="Calibri"/>
        <family val="2"/>
        <scheme val="minor"/>
      </rPr>
      <t>= 'A'</t>
    </r>
    <r>
      <rPr>
        <sz val="11"/>
        <color theme="1"/>
        <rFont val="Calibri"/>
        <family val="2"/>
        <scheme val="minor"/>
      </rPr>
      <t>,"Pass","Fail")</t>
    </r>
  </si>
  <si>
    <t>Checks if all arguments are true and returns TRUE value else returns FALSE value. You need to have minimum 2 conditions to check. AND function is used with IF condition a lot</t>
  </si>
  <si>
    <t xml:space="preserve"> =AND(Logical 1, Logical 2, Logical 3, and so on..)</t>
  </si>
  <si>
    <t>Logical 1</t>
  </si>
  <si>
    <t>First condition which needs to be checked</t>
  </si>
  <si>
    <t>Logical 2</t>
  </si>
  <si>
    <t>Second condition which needs to be checked</t>
  </si>
  <si>
    <t>Condition 1</t>
  </si>
  <si>
    <t>Condition 2</t>
  </si>
  <si>
    <t>Testing condition 1 and condition 2 to check the numbers are greater than 0 using AND</t>
  </si>
  <si>
    <t xml:space="preserve"> =AND(A19&gt;0,B19&gt;0)</t>
  </si>
  <si>
    <t>Use IF with AND function to check if student has passed or not. If the student has failed in 1 of the 2 subjects, then the student will be considered as Failed</t>
  </si>
  <si>
    <t>Subject 1</t>
  </si>
  <si>
    <t>Subject 2</t>
  </si>
  <si>
    <t>PASS</t>
  </si>
  <si>
    <t>FAIL</t>
  </si>
  <si>
    <t>Overall Result</t>
  </si>
  <si>
    <t xml:space="preserve"> =IF(AND(B26="PASS",C26="PASS"),"PASS","FAIL")</t>
  </si>
  <si>
    <t xml:space="preserve"> =IF(AND(B27="PASS",C27="PASS"),"PASS","FAIL")</t>
  </si>
  <si>
    <t xml:space="preserve"> =IF(AND(B28="PASS",C28="PASS"),"PASS","FAIL")</t>
  </si>
  <si>
    <t>Write a formula using AND with IF to find if an employee should get a "GOOD" increment or not. Sales made by the employee should be more than 50 and he should have adhered to all HR policies</t>
  </si>
  <si>
    <t>Adhered to HR Policies</t>
  </si>
  <si>
    <t>YES</t>
  </si>
  <si>
    <t>NO</t>
  </si>
  <si>
    <t>GOOD Increment (Yes or NO)</t>
  </si>
  <si>
    <t>Nested IF's</t>
  </si>
  <si>
    <t xml:space="preserve"> =if(Logical_Test, [value_if_true], if(Logical_Test, [value_if_true], [value_if_false]))</t>
  </si>
  <si>
    <t>Nested IF</t>
  </si>
  <si>
    <t xml:space="preserve">Nested IF conditions help in checking multiple conditions together by using IF conditions within IF condition. </t>
  </si>
  <si>
    <t>From Excel 2007 onwards, we can use 64 IF conditions in one formula whereas Excel 2003 allows for ony 7 IF conditions</t>
  </si>
  <si>
    <t>Use Nested IF to put the grade a student gets in an exam in Table B. Score Ranges for different grades are given in Table A.</t>
  </si>
  <si>
    <t>&lt; 40</t>
  </si>
  <si>
    <t>&gt; 70</t>
  </si>
  <si>
    <t xml:space="preserve"> =IF(E26&lt; 41,"C",IF(E26&lt; 71,"B","A"))</t>
  </si>
  <si>
    <t xml:space="preserve"> =IF(E27&lt; 41,"C",IF(E27&lt; 71,"B","A"))</t>
  </si>
  <si>
    <t xml:space="preserve"> =IF(E28&lt; 41,"C",IF(E28&lt; 71,"B","A"))</t>
  </si>
  <si>
    <t xml:space="preserve"> =IF(E29&lt; 41,"C",IF(E29&lt; 71,"B","A"))</t>
  </si>
  <si>
    <r>
      <t xml:space="preserve">This will be the condition which you want to check, so greater than, less than or equal to signs can be used for numbers. When you want to evaluate a condition based on </t>
    </r>
    <r>
      <rPr>
        <sz val="11"/>
        <color rgb="FFFF0000"/>
        <rFont val="Calibri"/>
        <family val="2"/>
        <scheme val="minor"/>
      </rPr>
      <t>text value</t>
    </r>
    <r>
      <rPr>
        <sz val="11"/>
        <color theme="1"/>
        <rFont val="Calibri"/>
        <family val="2"/>
        <scheme val="minor"/>
      </rPr>
      <t>, then use double quotes ('') with equal to signs</t>
    </r>
  </si>
  <si>
    <r>
      <t xml:space="preserve">This will be the condition which you want to check, so greater than, less than or equal to signs can be used for numbers. When you want to evaluate a condition based on </t>
    </r>
    <r>
      <rPr>
        <sz val="11"/>
        <color rgb="FFFF0000"/>
        <rFont val="Calibri"/>
        <family val="2"/>
        <scheme val="minor"/>
      </rPr>
      <t>text value</t>
    </r>
    <r>
      <rPr>
        <sz val="11"/>
        <color theme="1"/>
        <rFont val="Calibri"/>
        <family val="2"/>
        <scheme val="minor"/>
      </rPr>
      <t>, then use double quotes ('') with equal to signs (Row 27 for example)</t>
    </r>
  </si>
  <si>
    <t>Write a formula using Nested IF conditions to check what level increment an employee should get and then convert the amount into dollars using Format</t>
  </si>
  <si>
    <t>TABLE A</t>
  </si>
  <si>
    <t>TABLE B</t>
  </si>
  <si>
    <t>Performance</t>
  </si>
  <si>
    <t xml:space="preserve"> =OR(Logical 1, Logical 2, Logical 3, and so on..)</t>
  </si>
  <si>
    <t>Testing condition 1 and condition 2 to check the numbers are greater than 0 using OR</t>
  </si>
  <si>
    <t xml:space="preserve"> =OR(A20&gt;0,B20&gt;0)</t>
  </si>
  <si>
    <t>Checks if any of the conditions are true or not. It returns TRUE value even if one of the conditions holds else returns FALSE value. Basically, for a FALSE to appear, no conditions should hold. You need to have minimum 2 conditions to check. AND function is used with IF condition a lot</t>
  </si>
  <si>
    <t>Use IF with OR function to check if student has passed or not. If the student has failed in 1 of the 2 subjects, then the student will be considered as Failed</t>
  </si>
  <si>
    <t xml:space="preserve"> =IF(OR(B28="FAIL",C28="FAIL"),"FAIL","PASS")</t>
  </si>
  <si>
    <t xml:space="preserve"> =IF(OR(B29="FAIL",C29="FAIL"),"FAIL","PASS")</t>
  </si>
  <si>
    <t xml:space="preserve"> =IF(OR(B30="FAIL",C30="FAIL"),"FAIL","PASS")</t>
  </si>
  <si>
    <t xml:space="preserve"> =IF(OR(B31="FAIL",C31="FAIL"),"FAIL","PASS")</t>
  </si>
  <si>
    <t xml:space="preserve"> =IF(B25&gt;=40,"Pass","Fail")</t>
  </si>
  <si>
    <t xml:space="preserve"> =AND(A20&gt;0,B20&gt;0)</t>
  </si>
  <si>
    <t xml:space="preserve"> =IF(AND(B29="PASS",C29="PASS"),"PASS","FAIL")</t>
  </si>
  <si>
    <t xml:space="preserve"> =IFERROR(Value,[Value_if_error])</t>
  </si>
  <si>
    <t>First cell value which is checked if there is an error</t>
  </si>
  <si>
    <t>If in the cell there is an error, that error value will be replaced by this value</t>
  </si>
  <si>
    <t>Value_if_error</t>
  </si>
  <si>
    <t>Sometimes when we use formula in cells, we might get an error because of the cell value, IFERROR allows us to remove such errors with values we want</t>
  </si>
  <si>
    <t>Divide Col A by Col B and show the results without using IFERROR and with using IFERROR</t>
  </si>
  <si>
    <t xml:space="preserve"> =A19/B19</t>
  </si>
  <si>
    <t xml:space="preserve"> =A20/B20</t>
  </si>
  <si>
    <t>Without IFERROR &amp;Formula</t>
  </si>
  <si>
    <t>With IFERROR &amp;Formula</t>
  </si>
  <si>
    <r>
      <t xml:space="preserve"> =IFERROR(A19/B19,</t>
    </r>
    <r>
      <rPr>
        <b/>
        <sz val="11"/>
        <color rgb="FFFF0000"/>
        <rFont val="Calibri"/>
        <family val="2"/>
        <scheme val="minor"/>
      </rPr>
      <t>999</t>
    </r>
    <r>
      <rPr>
        <sz val="11"/>
        <color theme="1"/>
        <rFont val="Calibri"/>
        <family val="2"/>
        <scheme val="minor"/>
      </rPr>
      <t>)</t>
    </r>
  </si>
  <si>
    <r>
      <t xml:space="preserve"> =IFERROR(A20/B20,</t>
    </r>
    <r>
      <rPr>
        <b/>
        <sz val="11"/>
        <color rgb="FFFF0000"/>
        <rFont val="Calibri"/>
        <family val="2"/>
        <scheme val="minor"/>
      </rPr>
      <t>999</t>
    </r>
    <r>
      <rPr>
        <sz val="11"/>
        <color theme="1"/>
        <rFont val="Calibri"/>
        <family val="2"/>
        <scheme val="minor"/>
      </rPr>
      <t>)</t>
    </r>
  </si>
  <si>
    <t>Col A</t>
  </si>
  <si>
    <t>Col B</t>
  </si>
  <si>
    <t>a</t>
  </si>
  <si>
    <t xml:space="preserve"> =A29*B29</t>
  </si>
  <si>
    <t xml:space="preserve"> =A30*B30</t>
  </si>
  <si>
    <t xml:space="preserve"> =A31*B31</t>
  </si>
  <si>
    <t xml:space="preserve"> =A32*B32</t>
  </si>
  <si>
    <r>
      <t xml:space="preserve"> =IFERROR(A29*B29,</t>
    </r>
    <r>
      <rPr>
        <b/>
        <sz val="11"/>
        <color rgb="FFFF0000"/>
        <rFont val="Calibri"/>
        <family val="2"/>
        <scheme val="minor"/>
      </rPr>
      <t>"DATA IS WRONG"</t>
    </r>
    <r>
      <rPr>
        <sz val="11"/>
        <color theme="1"/>
        <rFont val="Calibri"/>
        <family val="2"/>
        <scheme val="minor"/>
      </rPr>
      <t>)</t>
    </r>
  </si>
  <si>
    <r>
      <t xml:space="preserve"> =IFERROR(A30*B30,</t>
    </r>
    <r>
      <rPr>
        <b/>
        <sz val="11"/>
        <color rgb="FFFF0000"/>
        <rFont val="Calibri"/>
        <family val="2"/>
        <scheme val="minor"/>
      </rPr>
      <t>"DATA IS WRONG"</t>
    </r>
    <r>
      <rPr>
        <sz val="11"/>
        <color theme="1"/>
        <rFont val="Calibri"/>
        <family val="2"/>
        <scheme val="minor"/>
      </rPr>
      <t>)</t>
    </r>
  </si>
  <si>
    <r>
      <t xml:space="preserve"> =IFERROR(A31*B31,</t>
    </r>
    <r>
      <rPr>
        <b/>
        <sz val="11"/>
        <color rgb="FFFF0000"/>
        <rFont val="Calibri"/>
        <family val="2"/>
        <scheme val="minor"/>
      </rPr>
      <t>"DATA IS WRONG"</t>
    </r>
    <r>
      <rPr>
        <sz val="11"/>
        <color theme="1"/>
        <rFont val="Calibri"/>
        <family val="2"/>
        <scheme val="minor"/>
      </rPr>
      <t>)</t>
    </r>
  </si>
  <si>
    <r>
      <t xml:space="preserve"> =IFERROR(A32*B32,</t>
    </r>
    <r>
      <rPr>
        <b/>
        <sz val="11"/>
        <color rgb="FFFF0000"/>
        <rFont val="Calibri"/>
        <family val="2"/>
        <scheme val="minor"/>
      </rPr>
      <t>"DATA IS WRONG"</t>
    </r>
    <r>
      <rPr>
        <sz val="11"/>
        <color theme="1"/>
        <rFont val="Calibri"/>
        <family val="2"/>
        <scheme val="minor"/>
      </rPr>
      <t>)</t>
    </r>
  </si>
  <si>
    <t>In the above example, on dividing 1 by 0, we get an error, without using IFERROR we get #DIV/0! i.e. an error. So using IFERROR, we can give values we want. You can also enter text which can let the user know that there is some problem with the data.</t>
  </si>
  <si>
    <t>The red color highlight is for representation here - color cannot be changed using IFERROR</t>
  </si>
  <si>
    <t>Annual Salary</t>
  </si>
  <si>
    <t>abcd</t>
  </si>
  <si>
    <t>Write a formula using IFERROR. Find the monthly salary of each employee using data in Column C and if an error appears, then change it to ERROR IN SALARY. Change the format to £ (Pounds) and no decimal places</t>
  </si>
  <si>
    <t>Sometimes when we use formula in cells, we get values errors of type #N/A. We can use IFNA to remove this with our choice of value. IFNA function is from Excel 2013 onwards, so is not available in earlier versions of Excel.</t>
  </si>
  <si>
    <t xml:space="preserve"> =IFNA(Value,[Value_if_error])</t>
  </si>
  <si>
    <t>If in the cell there is a value of #N/A, the error value will be replaced by this value</t>
  </si>
  <si>
    <r>
      <t xml:space="preserve"> =IFNA(A20,</t>
    </r>
    <r>
      <rPr>
        <b/>
        <sz val="11"/>
        <color rgb="FFFF0000"/>
        <rFont val="Calibri"/>
        <family val="2"/>
        <scheme val="minor"/>
      </rPr>
      <t>9999</t>
    </r>
    <r>
      <rPr>
        <sz val="11"/>
        <color theme="1"/>
        <rFont val="Calibri"/>
        <family val="2"/>
        <scheme val="minor"/>
      </rPr>
      <t>)</t>
    </r>
  </si>
  <si>
    <r>
      <t xml:space="preserve"> =IFNA(A19,</t>
    </r>
    <r>
      <rPr>
        <b/>
        <sz val="11"/>
        <color rgb="FFFF0000"/>
        <rFont val="Calibri"/>
        <family val="2"/>
        <scheme val="minor"/>
      </rPr>
      <t>9999</t>
    </r>
    <r>
      <rPr>
        <sz val="11"/>
        <color theme="1"/>
        <rFont val="Calibri"/>
        <family val="2"/>
        <scheme val="minor"/>
      </rPr>
      <t>)</t>
    </r>
  </si>
  <si>
    <t>The red color highlight is for representation here - color cannot be changed using IFNA</t>
  </si>
  <si>
    <t>Monthly Salary</t>
  </si>
  <si>
    <t>Write a formula using IFNA. Find the monthly salary of each employee using data in Column C and if #N/A appears, then change it to ERROR IN SALARY. Change the format to £ (Pounds) and no decimal places</t>
  </si>
  <si>
    <t xml:space="preserve"> =EXACT(Text1, Text2)</t>
  </si>
  <si>
    <t>Text1</t>
  </si>
  <si>
    <t>Text2</t>
  </si>
  <si>
    <t>First string which you want to check</t>
  </si>
  <si>
    <t>Second string which you want to test against</t>
  </si>
  <si>
    <t>EXCEL</t>
  </si>
  <si>
    <t>Excel</t>
  </si>
  <si>
    <t xml:space="preserve"> =EXACT(A19,B19)</t>
  </si>
  <si>
    <t xml:space="preserve"> =EXACT(A20,B20)</t>
  </si>
  <si>
    <t>It checks whether 2  values (texts, numbers) are exactly same or not. If they are same, then it will return TRUE else it will return FALSE. This function is case-sensitive</t>
  </si>
  <si>
    <t>Results</t>
  </si>
  <si>
    <t>TEST</t>
  </si>
  <si>
    <t>Test</t>
  </si>
  <si>
    <t>Write a formula using EXACT to check if the values in Col A and Col B are same or not</t>
  </si>
  <si>
    <t>In the above example, Row 20 result is FALSE because the EXACT function is case-sensitive. The first value is in upper capse  (EXCEL) whereas the second one (Excel) is a combination of upper and lower capse</t>
  </si>
  <si>
    <t>It converst a numeric value into text based on the format given by the user</t>
  </si>
  <si>
    <t xml:space="preserve"> =TEXT(Value, Format_text)</t>
  </si>
  <si>
    <t>Value for which we need to change the format</t>
  </si>
  <si>
    <t>Format specified by the user</t>
  </si>
  <si>
    <t>Format_text</t>
  </si>
  <si>
    <t>Year</t>
  </si>
  <si>
    <t>Using different text formats</t>
  </si>
  <si>
    <t>Using Text function though the results may appear in the same way, but there format has changed to text.</t>
  </si>
  <si>
    <t>Note:</t>
  </si>
  <si>
    <t>Convert To</t>
  </si>
  <si>
    <t>This function joins several (more than 1) text string into 1 string</t>
  </si>
  <si>
    <t xml:space="preserve"> =CONCATENATE(String1, String2, and so on..)</t>
  </si>
  <si>
    <t xml:space="preserve"> =String1&amp;String2&amp; so on..</t>
  </si>
  <si>
    <t>String 1</t>
  </si>
  <si>
    <t>String 2</t>
  </si>
  <si>
    <t>Second string which you want to join to the first string</t>
  </si>
  <si>
    <t>String2</t>
  </si>
  <si>
    <t>String1</t>
  </si>
  <si>
    <t>String3</t>
  </si>
  <si>
    <t xml:space="preserve"> =CONCATENATE(A20,B20,C20)</t>
  </si>
  <si>
    <t xml:space="preserve"> =CONCATENATE(A21,B21,C21)</t>
  </si>
  <si>
    <t xml:space="preserve"> =A22&amp;B22&amp;C22</t>
  </si>
  <si>
    <t xml:space="preserve"> =A23&amp;B23&amp;C23</t>
  </si>
  <si>
    <t>S005</t>
  </si>
  <si>
    <t>S006</t>
  </si>
  <si>
    <t xml:space="preserve"> =CONCATENATE(A24," ",B24," ",C24)</t>
  </si>
  <si>
    <t xml:space="preserve"> =A25&amp;" "&amp;B25&amp;" "&amp;C25</t>
  </si>
  <si>
    <t>S007</t>
  </si>
  <si>
    <t xml:space="preserve"> =CONCATENATE(A26,";",B26,";",C26)</t>
  </si>
  <si>
    <t>In these 3 examples, we have added spaces or semi-colons between the strings to make the result readable</t>
  </si>
  <si>
    <t>Join the 3 strings together using CONCATENATE and &amp; (ampersand) operator</t>
  </si>
  <si>
    <t>Join the 3 strings together using CONCATENATE and &amp; (ampersand) operator to get the results as mentioned in the result column</t>
  </si>
  <si>
    <t>E005</t>
  </si>
  <si>
    <t>E006</t>
  </si>
  <si>
    <t>E007</t>
  </si>
  <si>
    <t>E002Analyst500</t>
  </si>
  <si>
    <t>E005 AVP 1000</t>
  </si>
  <si>
    <t>E006 Analyst 250</t>
  </si>
  <si>
    <t>In order to add spaces, other special characters between strings, you would need to use double quotes "" and declare the value between them as done in the examples above</t>
  </si>
  <si>
    <t>E001-AVP-800</t>
  </si>
  <si>
    <t>E003/Analyst-100</t>
  </si>
  <si>
    <t>E004:Analyst:400</t>
  </si>
  <si>
    <t>E007;Analyst*500</t>
  </si>
  <si>
    <t>USE</t>
  </si>
  <si>
    <t>&amp;</t>
  </si>
  <si>
    <t>First string which you want to concatenate</t>
  </si>
  <si>
    <t xml:space="preserve"> =TRIM(Text)</t>
  </si>
  <si>
    <t>S001 A</t>
  </si>
  <si>
    <t>S001     A</t>
  </si>
  <si>
    <t xml:space="preserve">          S002</t>
  </si>
  <si>
    <t xml:space="preserve">S003      </t>
  </si>
  <si>
    <t xml:space="preserve"> =TRIM(A16)</t>
  </si>
  <si>
    <t xml:space="preserve"> =TRIM(A17)</t>
  </si>
  <si>
    <t xml:space="preserve"> =TRIM(A18)</t>
  </si>
  <si>
    <t xml:space="preserve"> =TRIM(A19)</t>
  </si>
  <si>
    <t>Remove the extra spaces in the strings and then join the 3 strings together using CONCATENATE and &amp; (ampersand) operator to get the results as mentioned in the result column. Do so in one formula itself</t>
  </si>
  <si>
    <t xml:space="preserve">E001    </t>
  </si>
  <si>
    <t xml:space="preserve">      E002  </t>
  </si>
  <si>
    <t>Ana      lyst</t>
  </si>
  <si>
    <t xml:space="preserve">Analyst    </t>
  </si>
  <si>
    <t xml:space="preserve"> =SUBSTITUTE(Text, Old_Text, New_Text, [instance_number])</t>
  </si>
  <si>
    <t>String in which you want to modify text</t>
  </si>
  <si>
    <t>Old_Text</t>
  </si>
  <si>
    <t>The old text which you want to replace</t>
  </si>
  <si>
    <t>New Text</t>
  </si>
  <si>
    <t>The new text with which you want to modify your original text with</t>
  </si>
  <si>
    <t>Instance_Number</t>
  </si>
  <si>
    <t>The instance of old text which you want to replace with new text. It is optional but if not provided it will make changes to all the occurrences of old text with new text. Look at the examples below for better understanding of this</t>
  </si>
  <si>
    <t>This function is used to replace a part of text in a string with something else. SUBSTITUTE function is used to clean data. This function is case-sensitive.</t>
  </si>
  <si>
    <t>Hut</t>
  </si>
  <si>
    <t>the car is in the driveway</t>
  </si>
  <si>
    <t>The car is in the driveway</t>
  </si>
  <si>
    <t>String</t>
  </si>
  <si>
    <t>Instances</t>
  </si>
  <si>
    <t>bumble</t>
  </si>
  <si>
    <t xml:space="preserve"> =SUBSTITUTE(A26,"t","b")</t>
  </si>
  <si>
    <t xml:space="preserve"> =SUBSTITUTE(A27,"b","T",1)</t>
  </si>
  <si>
    <t xml:space="preserve"> =SUBSTITUTE(A28,"the"," ")</t>
  </si>
  <si>
    <t xml:space="preserve"> =SUBSTITUTE(A29,"the","a",2)</t>
  </si>
  <si>
    <t xml:space="preserve"> =SUBSTITUTE(A30,"The"," ")</t>
  </si>
  <si>
    <t>If instances are not mentioned, then excel will replace all the occurrences as can be seen on Row 28. And the function is case-sensitive which can be seen on Row 30</t>
  </si>
  <si>
    <t>Use SUBSTITUTE function to make changes to some of the strings below to get the results mentioned in the 'Result' column</t>
  </si>
  <si>
    <t>The dog is in the lawn</t>
  </si>
  <si>
    <t>the dog is in the lawn</t>
  </si>
  <si>
    <t>Dog</t>
  </si>
  <si>
    <t>dog is in the lawn</t>
  </si>
  <si>
    <t>Dog is in   lawn</t>
  </si>
  <si>
    <t>Fog</t>
  </si>
  <si>
    <t>Curious Cat</t>
  </si>
  <si>
    <t>Furious Cat</t>
  </si>
  <si>
    <t xml:space="preserve"> =VALUE(Text)</t>
  </si>
  <si>
    <t>The function is used to convert text value into numeric value</t>
  </si>
  <si>
    <t>String which you want to convert to number</t>
  </si>
  <si>
    <t xml:space="preserve"> =VALUE(A15)</t>
  </si>
  <si>
    <t xml:space="preserve"> =VALUE(A16)</t>
  </si>
  <si>
    <t xml:space="preserve"> =VALUE(A17)</t>
  </si>
  <si>
    <t>Excel stores dates as numbers, hence the function changes the dates to numbers</t>
  </si>
  <si>
    <t>Convert the values in Text column into numbers</t>
  </si>
  <si>
    <t>Convert the values into numbers</t>
  </si>
  <si>
    <t xml:space="preserve"> =UPPER(Text)</t>
  </si>
  <si>
    <t>This function converts the entire text string into uppercase letters</t>
  </si>
  <si>
    <t>String for which you want to convert all letters into UPCASE</t>
  </si>
  <si>
    <t>Laptop</t>
  </si>
  <si>
    <t>excel</t>
  </si>
  <si>
    <t>superstore is closed now</t>
  </si>
  <si>
    <t xml:space="preserve"> =UPPER(A15)</t>
  </si>
  <si>
    <t xml:space="preserve"> =UPPER(A16)</t>
  </si>
  <si>
    <t xml:space="preserve"> =UPPER(A17)</t>
  </si>
  <si>
    <t>Convert the values in Text column into UPPERCASE</t>
  </si>
  <si>
    <t>good</t>
  </si>
  <si>
    <t>how are you?</t>
  </si>
  <si>
    <t>Exercise 1</t>
  </si>
  <si>
    <t>Exercise 2</t>
  </si>
  <si>
    <t>match</t>
  </si>
  <si>
    <t>Match</t>
  </si>
  <si>
    <t>correct</t>
  </si>
  <si>
    <t>CORECT</t>
  </si>
  <si>
    <t>Use UPPER to change Col A and then use EXACT function to match the 2 strings to see if they are same or not</t>
  </si>
  <si>
    <t>This function converts the entire text string into lowercase letters</t>
  </si>
  <si>
    <t xml:space="preserve"> =LOWER(Text)</t>
  </si>
  <si>
    <t>String for which you want to convert all letters into lowercase</t>
  </si>
  <si>
    <t>Convert the values in Text column into lowercase</t>
  </si>
  <si>
    <t>SUPERSTORE IS CLOSED NOW</t>
  </si>
  <si>
    <t xml:space="preserve"> =LOWER(A15)</t>
  </si>
  <si>
    <t xml:space="preserve"> =LOWER(A16)</t>
  </si>
  <si>
    <t xml:space="preserve"> =LOWER(A17)</t>
  </si>
  <si>
    <t>GOOD</t>
  </si>
  <si>
    <t>HOW are you?</t>
  </si>
  <si>
    <t>Use LOWER to change Col A and then use EXACT function to match the 2 strings to see if they are same or not</t>
  </si>
  <si>
    <t>mATCH</t>
  </si>
  <si>
    <t xml:space="preserve"> =LEN(Text)</t>
  </si>
  <si>
    <t>String for which you want to find the length</t>
  </si>
  <si>
    <t xml:space="preserve">EXCEL </t>
  </si>
  <si>
    <t>SUPERSTORE IS CLOSED ;</t>
  </si>
  <si>
    <t xml:space="preserve"> =LEN(A16)</t>
  </si>
  <si>
    <t xml:space="preserve"> =LEN(A17)</t>
  </si>
  <si>
    <t xml:space="preserve"> =LEN(A18)</t>
  </si>
  <si>
    <t>Find the length of the followig strings</t>
  </si>
  <si>
    <t>Phone Number is +(0)1234</t>
  </si>
  <si>
    <t>This is used for data cleaning</t>
  </si>
  <si>
    <t>This function returns the number of characters in a string (text or numeric value). It also counts the spaces and special characters. This function is used for data manipulation along with LEFT, RIGHT functions</t>
  </si>
  <si>
    <t xml:space="preserve"> =LEN(A19)</t>
  </si>
  <si>
    <t xml:space="preserve"> =LEFT(Text, [num_chars])</t>
  </si>
  <si>
    <t>num_chars</t>
  </si>
  <si>
    <t>This function returns the number of specified characters from the start of the string. This function is used for data manipulation. A way to remember is that you read from left to right - so that is why from the start of the string</t>
  </si>
  <si>
    <t>Use LEFT function on the following strings</t>
  </si>
  <si>
    <t>EXCEL IS WOW</t>
  </si>
  <si>
    <t xml:space="preserve"> =LEFT(A19,5)</t>
  </si>
  <si>
    <t xml:space="preserve"> =LEFT(A20,8)</t>
  </si>
  <si>
    <t xml:space="preserve"> =LEFT(A21,15)</t>
  </si>
  <si>
    <t xml:space="preserve"> =LEFT(A22,1)</t>
  </si>
  <si>
    <t>Phone Number is +(0</t>
  </si>
  <si>
    <t>This is used for data cle</t>
  </si>
  <si>
    <t>Use LEFT function to get the results in the 2nd column</t>
  </si>
  <si>
    <t xml:space="preserve"> =RIGHT(Text, [num_chars])</t>
  </si>
  <si>
    <t>This function returns the number of specified characters from the end of the string. This function is used for data manipulation. A way to remember is that you read from left to right - so that is why from the end of the string</t>
  </si>
  <si>
    <t>String from which you want to find letters</t>
  </si>
  <si>
    <t>Number of characters you want to read from the left</t>
  </si>
  <si>
    <t>Use RIGHT function on the following strings</t>
  </si>
  <si>
    <t xml:space="preserve"> =RIGHT(A19,3)</t>
  </si>
  <si>
    <t xml:space="preserve"> =RIGHT(A20,4)</t>
  </si>
  <si>
    <t xml:space="preserve"> =RIGHT(A21,6)</t>
  </si>
  <si>
    <t xml:space="preserve"> =RIGHT(A22,1)</t>
  </si>
  <si>
    <t>Use RIGHT function to get the results in the 2nd column</t>
  </si>
  <si>
    <t>data cleaning</t>
  </si>
  <si>
    <t>is +(0)1234</t>
  </si>
  <si>
    <t xml:space="preserve"> Number is +(0)1234</t>
  </si>
  <si>
    <t>is used for data cleaning</t>
  </si>
  <si>
    <t xml:space="preserve"> =MID(Text, [starting_position], [num_chars])</t>
  </si>
  <si>
    <t>starting_position</t>
  </si>
  <si>
    <t>This function returns the number of specified characters from the left to right but, you can change the start of the string thus making MID function different from LEFT function.</t>
  </si>
  <si>
    <t>Starting position of the string</t>
  </si>
  <si>
    <t>Number of characters you want to read from the starting of the string</t>
  </si>
  <si>
    <t>Laptop restarted</t>
  </si>
  <si>
    <t>90 EMPLOYEES</t>
  </si>
  <si>
    <t xml:space="preserve"> =MID(A22,4,6)</t>
  </si>
  <si>
    <t xml:space="preserve"> =MID(A23,2,9)</t>
  </si>
  <si>
    <t xml:space="preserve"> =MID(A24,10,9)</t>
  </si>
  <si>
    <t xml:space="preserve"> =MID(A25,2,6)</t>
  </si>
  <si>
    <t>Use MID function to get the results in the 2nd column</t>
  </si>
  <si>
    <t>How have you been?</t>
  </si>
  <si>
    <t>Any questions?</t>
  </si>
  <si>
    <t>is +(0)1</t>
  </si>
  <si>
    <t>for data clean</t>
  </si>
  <si>
    <t>you</t>
  </si>
  <si>
    <t>quest</t>
  </si>
  <si>
    <t>This function returns the date when days, month, year are stored in different cells. If the cell in which the function is being called is of Number format, then the function will return a number - excel stores dates as numbers</t>
  </si>
  <si>
    <t xml:space="preserve"> =DATE(Year,Month,Day)</t>
  </si>
  <si>
    <t>Day</t>
  </si>
  <si>
    <t>Month of the date in numeric format like for January it would be 1, for February it would be 2</t>
  </si>
  <si>
    <t>Day of the date - it needs to be in numeric format like 1, 2, 3 …and till 31</t>
  </si>
  <si>
    <t>Year of the date. Try to supply the entire 4 digits</t>
  </si>
  <si>
    <t>Use DATE function to calculate dates</t>
  </si>
  <si>
    <t xml:space="preserve"> =DATE(A22,B22,C22)</t>
  </si>
  <si>
    <t xml:space="preserve"> =DATE(A23,B23,C23)</t>
  </si>
  <si>
    <t xml:space="preserve"> =DATE(A24,B24,C24)</t>
  </si>
  <si>
    <t xml:space="preserve"> =DATE(A25,B25,C25)</t>
  </si>
  <si>
    <t>Use DATE function to calculate dates and then format the result into Date format</t>
  </si>
  <si>
    <t>Use LEFT, MID and RIGHT functions to extract day, month and year from Col A and then use DATE function to calculate dates</t>
  </si>
  <si>
    <t>This function converts a date which has been entered as text to date value but in number format</t>
  </si>
  <si>
    <t xml:space="preserve"> =LEFT(A23,LEN(A23)-7)</t>
  </si>
  <si>
    <t>Use LEFT and LEN function together to only remove last 5 characters of the string</t>
  </si>
  <si>
    <t>Use RIGHT and LEN function together to only remove first 5 characters of the string</t>
  </si>
  <si>
    <t xml:space="preserve"> =RIGHT(A23,LEN(A23)-16)</t>
  </si>
  <si>
    <t xml:space="preserve"> =DATEVALUE(DATE_TEXT)</t>
  </si>
  <si>
    <t>DATE_TEXT</t>
  </si>
  <si>
    <t>Date which needs to be converted from text to date format</t>
  </si>
  <si>
    <t>01/03/2015</t>
  </si>
  <si>
    <t>Text Date</t>
  </si>
  <si>
    <t xml:space="preserve"> =DATEVALUE(A16)</t>
  </si>
  <si>
    <t xml:space="preserve"> =DATEVALUE(A17)</t>
  </si>
  <si>
    <t xml:space="preserve"> =DATEVALUE(A18)</t>
  </si>
  <si>
    <t>Use DATEVALUE function to calculate dates and then change the format of the result into Date format</t>
  </si>
  <si>
    <t>31/12/2015</t>
  </si>
  <si>
    <t>3/01/2010</t>
  </si>
  <si>
    <t>11/12/2015</t>
  </si>
  <si>
    <t>01/01/2014</t>
  </si>
  <si>
    <t>This function returns today's date in date format</t>
  </si>
  <si>
    <t xml:space="preserve"> =TODAY()</t>
  </si>
  <si>
    <t>No paramter</t>
  </si>
  <si>
    <t>No paramter is required for this function</t>
  </si>
  <si>
    <t>Identify today's date</t>
  </si>
  <si>
    <t xml:space="preserve"> =TODAY()-5</t>
  </si>
  <si>
    <t>Calculate number of days between today's date and date in Col A</t>
  </si>
  <si>
    <t xml:space="preserve"> =NOW()</t>
  </si>
  <si>
    <t>Identify today's date and time</t>
  </si>
  <si>
    <t xml:space="preserve"> =NOW()-5</t>
  </si>
  <si>
    <t>Use NOW() to calculate values in COL A</t>
  </si>
  <si>
    <t>Current date and time</t>
  </si>
  <si>
    <t>Date and Time 7 days ago</t>
  </si>
  <si>
    <t>This function returns the day of the month i.e. 1, 2 ..31 in numeric format. Do note that at times, you may have to change the format of the cell to numeric to get the date in numeric format</t>
  </si>
  <si>
    <t xml:space="preserve"> =DAY(SERIAL_NUMBER)</t>
  </si>
  <si>
    <t>Serial Number</t>
  </si>
  <si>
    <t>Date from which you want to extract the date part</t>
  </si>
  <si>
    <t xml:space="preserve"> =DAY(A16)</t>
  </si>
  <si>
    <t xml:space="preserve"> =DAY(A17)</t>
  </si>
  <si>
    <t>Use NOW() to calculate values in COL A and then use DAY function to extract date part</t>
  </si>
  <si>
    <t>Results from NOW function</t>
  </si>
  <si>
    <t>Results from Date function</t>
  </si>
  <si>
    <t>This function returns the month in a date in a number format i.e. 1, 2, 3 ..12. Do note that at times, you may have to change the format of the cell to numeric to get the date in numeric format</t>
  </si>
  <si>
    <t xml:space="preserve"> =MONTH(SERIAL_NUMBER)</t>
  </si>
  <si>
    <t>Date from which you want to extract the month part</t>
  </si>
  <si>
    <t xml:space="preserve"> =MONTH(A16)</t>
  </si>
  <si>
    <t xml:space="preserve"> =MONTH(A17)</t>
  </si>
  <si>
    <t>Date and Time 30 days ago</t>
  </si>
  <si>
    <t>Use NOW() to calculate values in COL A and then use MONTH function to extract month</t>
  </si>
  <si>
    <t xml:space="preserve"> =YEAR(SERIAL_NUMBER)</t>
  </si>
  <si>
    <t>This function returns the year month in a date in a number format. Do note that at times, you may have to change the format of the cell to numeric to get the date in numeric format</t>
  </si>
  <si>
    <t>Date from which you want to extract the year part</t>
  </si>
  <si>
    <t xml:space="preserve"> =YEAR(A16)</t>
  </si>
  <si>
    <t xml:space="preserve"> =YEAR(A17)</t>
  </si>
  <si>
    <t>Use NOW() to calculate values in COL A and then use YEAR function to extract year</t>
  </si>
  <si>
    <t>Date and Time 365 days ago</t>
  </si>
  <si>
    <t>Results from Year function</t>
  </si>
  <si>
    <t>Results from Month function</t>
  </si>
  <si>
    <t>Use this date to calculate dates from Row 30 onwards</t>
  </si>
  <si>
    <t xml:space="preserve"> =DATE(YEAR(A28),MONTH(A28)+1,DAY(A28))</t>
  </si>
  <si>
    <t>Use YEAR, MONTH, DAY and DATE functions to get dates in COL A from Row 30 onwards. Row 29 has been done as an example</t>
  </si>
  <si>
    <t xml:space="preserve"> =WEEKDAY(SERIAL_NUMBER, [return_type])</t>
  </si>
  <si>
    <t>This function returns a number between 1 and 7 depending upon the day of the week. Default return is - Sunday would be 1, Monday 2...so on till Saturday which will be 7. Do note that at times, you may have to change the format of the cell to numeric to get the date in numeric format</t>
  </si>
  <si>
    <t>return_type</t>
  </si>
  <si>
    <t>Default settings i.e. if you do not mention this, Sunday would be 1, Monday 2 and so on. If you select it as 2, Monday will be given 1, Tuesday 2 and so on.</t>
  </si>
  <si>
    <t>Identify today's weekday number basis different return_type value</t>
  </si>
  <si>
    <t xml:space="preserve"> =WEEKDAY(A20)</t>
  </si>
  <si>
    <t xml:space="preserve"> =WEEKDAY(A21,2)</t>
  </si>
  <si>
    <t xml:space="preserve"> =WEEKDAY(A22,3)</t>
  </si>
  <si>
    <t xml:space="preserve"> =WEEKDAY(A23,14)</t>
  </si>
  <si>
    <t>Dates</t>
  </si>
  <si>
    <t>Return Value</t>
  </si>
  <si>
    <t>Use WEEKDAY() to calculate weekdays of dates mentioned in 'Date' column using 'Return Value'</t>
  </si>
  <si>
    <t>If any of the dates in the column below falls on Tuesday, then change that date to Friday. Use Weekday fucntion to check weekdays with return value 1. You will have to use IF function. 1st has been done as an example</t>
  </si>
  <si>
    <t>Weekday</t>
  </si>
  <si>
    <t>New Date</t>
  </si>
  <si>
    <t>This function returns the minutes between 0 and 59</t>
  </si>
  <si>
    <t xml:space="preserve"> =MINUTE(SERIAL_NUMBER)</t>
  </si>
  <si>
    <t>Date or time from which you want to extract minutes</t>
  </si>
  <si>
    <t xml:space="preserve"> =MINUTE(A15)</t>
  </si>
  <si>
    <t xml:space="preserve"> =MINUTE(A16)</t>
  </si>
  <si>
    <t xml:space="preserve"> =MINUTE(A17)</t>
  </si>
  <si>
    <t>Use MINUTE() to find out minutes from Col A</t>
  </si>
  <si>
    <t>This function returns the hour from 0 to 23</t>
  </si>
  <si>
    <t xml:space="preserve"> =HOUR(SERIAL_NUMBER)</t>
  </si>
  <si>
    <t>Date or time from which you want to extract the hour</t>
  </si>
  <si>
    <t xml:space="preserve"> =HOUR(A15)</t>
  </si>
  <si>
    <t xml:space="preserve"> =HOUR(A16)</t>
  </si>
  <si>
    <t xml:space="preserve"> =HOUR(A17)</t>
  </si>
  <si>
    <t>Use HOUR() to find out hour from Col A</t>
  </si>
  <si>
    <t>This function returns the sum of the cells or range selected</t>
  </si>
  <si>
    <t xml:space="preserve"> =SUM(Number 1, Number 2...)</t>
  </si>
  <si>
    <t>Number 1</t>
  </si>
  <si>
    <t>The first value to sum</t>
  </si>
  <si>
    <t>Number 2 and so on</t>
  </si>
  <si>
    <t>The second (and so on..) value to sum</t>
  </si>
  <si>
    <t>Use SUM function to get the sum of cells</t>
  </si>
  <si>
    <t>Col C</t>
  </si>
  <si>
    <t xml:space="preserve"> =SUM(A18:C18)</t>
  </si>
  <si>
    <t xml:space="preserve"> =SUM(A19,B19,C19)</t>
  </si>
  <si>
    <t xml:space="preserve"> =A20+B20+C20</t>
  </si>
  <si>
    <t>Row A</t>
  </si>
  <si>
    <t>Row B</t>
  </si>
  <si>
    <t>Row C</t>
  </si>
  <si>
    <t>Row D</t>
  </si>
  <si>
    <t xml:space="preserve"> =SUM(B24:B27)
</t>
  </si>
  <si>
    <t xml:space="preserve"> =C24+C25+C26+C27
</t>
  </si>
  <si>
    <t xml:space="preserve"> =SUM(D24,D25,D26,D27)
</t>
  </si>
  <si>
    <t xml:space="preserve">  =SUM(E24:E25,E26:E27)
</t>
  </si>
  <si>
    <t>Get the SUM of all cells below</t>
  </si>
  <si>
    <t xml:space="preserve"> =SUM(A34,A36,C34,C36,B35:B36)</t>
  </si>
  <si>
    <t>Values to be summed</t>
  </si>
  <si>
    <t>If you want to sum the entire column I suppose, all you need to do is =SUM(I:I), it will select the entire column I and give you the sum of the numbers in it. Similarly, you can select the entire row as well. If you write, =SUM(41:42), It will return the sum of all numbers in Rows 41 and 42.</t>
  </si>
  <si>
    <t>Use SUM function to calculate sum of the following values</t>
  </si>
  <si>
    <t>Col D</t>
  </si>
  <si>
    <t>Col E</t>
  </si>
  <si>
    <t>Condition to meet</t>
  </si>
  <si>
    <t>Col B &gt; 1</t>
  </si>
  <si>
    <t>Col C &gt; 50</t>
  </si>
  <si>
    <t>Col C &gt; 500</t>
  </si>
  <si>
    <t>Col E &gt; 80</t>
  </si>
  <si>
    <t>Col D &gt; 35</t>
  </si>
  <si>
    <t>Use IF and SUM function to calculate sum of the following values if conditions meet. If the conditions do not meet, then return value 0. First has been done as an example</t>
  </si>
  <si>
    <t xml:space="preserve"> =IF(B54&gt;1,SUM(B54:E54),0)</t>
  </si>
  <si>
    <t>Exercise 3</t>
  </si>
  <si>
    <t>Use IF, AND and SUM functions to calculate sum of the following values if conditions meet. If the conditions do not meet, then return value 0. First has been done as an example</t>
  </si>
  <si>
    <t xml:space="preserve">First Condition </t>
  </si>
  <si>
    <t xml:space="preserve">Second Condition </t>
  </si>
  <si>
    <t>Col D &gt;= 2</t>
  </si>
  <si>
    <t>Col A &gt; 5</t>
  </si>
  <si>
    <t>Col E &gt; 500</t>
  </si>
  <si>
    <t>Col A &gt; 80</t>
  </si>
  <si>
    <t xml:space="preserve"> =IF(AND(C65&gt;1,E65&gt;=2),SUM(C65:F65),0)</t>
  </si>
  <si>
    <t>Col B &gt;= 9.8</t>
  </si>
  <si>
    <t>Exercise 4</t>
  </si>
  <si>
    <t>Use IF, OR and SUM functions to calculate sum of the following values if either of the 2 conditions meet. If the conditions do not meet, then return value 0. First has been done as an example</t>
  </si>
  <si>
    <t xml:space="preserve"> =IF(OR(C76&gt;1,E76&gt;=2),SUM(C76:F76),0)</t>
  </si>
  <si>
    <t>This function returns the sum of the cells which meet a given criteria</t>
  </si>
  <si>
    <t xml:space="preserve"> =SUMIF(Range, Criteria, [sum_range])</t>
  </si>
  <si>
    <t>Range</t>
  </si>
  <si>
    <t>Range of cells which we need the criteria to evaluate</t>
  </si>
  <si>
    <t>Criteria</t>
  </si>
  <si>
    <t>This refers to the condition which we want to check, it can be text, number, dates</t>
  </si>
  <si>
    <t>Sum Range</t>
  </si>
  <si>
    <t>This is optional, if not present, excel will consider numbers in the 'Range'. Otherwise, it specifies the cells which need to be added if the condition holds</t>
  </si>
  <si>
    <t>Employee ID</t>
  </si>
  <si>
    <t>Department</t>
  </si>
  <si>
    <t>E008</t>
  </si>
  <si>
    <t>E009</t>
  </si>
  <si>
    <t>E010</t>
  </si>
  <si>
    <t>HR</t>
  </si>
  <si>
    <t>Analytics</t>
  </si>
  <si>
    <t>IT</t>
  </si>
  <si>
    <t>Use SUMIF function to calculate salary of all employees in Analytics and then for Sales</t>
  </si>
  <si>
    <t>Salary for Analytics Group</t>
  </si>
  <si>
    <t xml:space="preserve"> =SUMIF(B22:B31,"Analytics",E22:E31)</t>
  </si>
  <si>
    <t xml:space="preserve"> =SUMIF(B22:B31,"IT",E22:E31)</t>
  </si>
  <si>
    <t>Date of Joining</t>
  </si>
  <si>
    <t>Use SUMIF function to calculate salary of all employees who joined before 1st Dec 2016</t>
  </si>
  <si>
    <t xml:space="preserve"> =SUMIF(D41:D50,"&lt;01-Dec-2016",E41:E50)</t>
  </si>
  <si>
    <t>Salary for employees who joined before 1st Dec'16</t>
  </si>
  <si>
    <t>Use SUMIF function to calculate salary of all employees who are AVP</t>
  </si>
  <si>
    <t>Use SUMIF function to calculate salary of all employees joined on 1st Oct 2016</t>
  </si>
  <si>
    <t>This function returns the sum after multiplying numbers in an array. It can also be used to count cells based on criteria provided</t>
  </si>
  <si>
    <t xml:space="preserve"> =SUMPRODUCT(Array1, [Array2], [Array3],…and so on)</t>
  </si>
  <si>
    <t>Array1</t>
  </si>
  <si>
    <t>Range of cells which first need to be multiplied and then summed</t>
  </si>
  <si>
    <t>Array2</t>
  </si>
  <si>
    <t>It is optional - the second array or range to multiply and then summed</t>
  </si>
  <si>
    <t>Use SUMPRODUCT function to calculate total cost faced by the superstore</t>
  </si>
  <si>
    <t>Items</t>
  </si>
  <si>
    <t>I001</t>
  </si>
  <si>
    <t>I002</t>
  </si>
  <si>
    <t>I003</t>
  </si>
  <si>
    <t>I004</t>
  </si>
  <si>
    <t>I005</t>
  </si>
  <si>
    <t>I006</t>
  </si>
  <si>
    <t>No. of Units</t>
  </si>
  <si>
    <t>Total Cost</t>
  </si>
  <si>
    <t>Perishable?</t>
  </si>
  <si>
    <t xml:space="preserve"> =SUMPRODUCT(C18:C23,D18:D23)</t>
  </si>
  <si>
    <t>Use SUMPRODUCT function to count total number of Perishable items</t>
  </si>
  <si>
    <t>Total Items</t>
  </si>
  <si>
    <t>Cost for Perishable Items</t>
  </si>
  <si>
    <t xml:space="preserve"> =SUMPRODUCT(--(B32:B37="YES"))</t>
  </si>
  <si>
    <t xml:space="preserve"> =SUMPRODUCT(--(B32:B37="YES"),C32:C37)</t>
  </si>
  <si>
    <t>Total Sales</t>
  </si>
  <si>
    <t>Use SUMPRODUCT function to count total number of non Perishable items</t>
  </si>
  <si>
    <t>Cost Non Perishable Items</t>
  </si>
  <si>
    <t>This function returns random numbers greater than 0 and less than 1. The numbers change on recalculation</t>
  </si>
  <si>
    <t xml:space="preserve"> =RAND()</t>
  </si>
  <si>
    <t>No Paramter</t>
  </si>
  <si>
    <t>No Parameter is required for this function</t>
  </si>
  <si>
    <t>Use RAND() to generate some random numbers</t>
  </si>
  <si>
    <t>Random No.s</t>
  </si>
  <si>
    <t>RANDBETWEEN</t>
  </si>
  <si>
    <t>This function returns random numbers between specified numbers</t>
  </si>
  <si>
    <t xml:space="preserve"> =RANDBETWEEN(BOTTOM, TOP)</t>
  </si>
  <si>
    <t>BOTTOM</t>
  </si>
  <si>
    <t>TOP</t>
  </si>
  <si>
    <t>Lower Limit</t>
  </si>
  <si>
    <t>Upper Limit</t>
  </si>
  <si>
    <t xml:space="preserve"> =RANDBETWEEN(0,100000)</t>
  </si>
  <si>
    <t xml:space="preserve"> =RANDBETWEEN(0,5000)</t>
  </si>
  <si>
    <t>This function rounds the numbers to specified digits.</t>
  </si>
  <si>
    <t xml:space="preserve"> =ROUND(Number,num_digits)</t>
  </si>
  <si>
    <t>Number which you want to round up</t>
  </si>
  <si>
    <t>num_digits</t>
  </si>
  <si>
    <t>Number of decimal places to which you want it to round up</t>
  </si>
  <si>
    <t>Use ROUND function reduce decimal places of the numbers</t>
  </si>
  <si>
    <t>Numbers</t>
  </si>
  <si>
    <t>Rounded</t>
  </si>
  <si>
    <t xml:space="preserve"> =ROUND(A18,2)</t>
  </si>
  <si>
    <t xml:space="preserve"> =ROUND(A19,1)</t>
  </si>
  <si>
    <t xml:space="preserve"> =ROUND(A20,3)</t>
  </si>
  <si>
    <t xml:space="preserve"> =ROUND(A21,0)</t>
  </si>
  <si>
    <t>LookupValue</t>
  </si>
  <si>
    <t xml:space="preserve"> =VLOOKUP(LookupValue, Table_Array, Column_Index_Num, [Range_Lookup])</t>
  </si>
  <si>
    <t>Table_Array</t>
  </si>
  <si>
    <t>Column_Index_Num</t>
  </si>
  <si>
    <t>Range_Lookup</t>
  </si>
  <si>
    <t>This function is used to lookup a particular value in a table and then return data from a specific column corresponding to that value</t>
  </si>
  <si>
    <t>The value which needs to be looked for in a particular table</t>
  </si>
  <si>
    <t>If the value is present in the table, then which column consists of the value we want the function to return</t>
  </si>
  <si>
    <t>Mercedes</t>
  </si>
  <si>
    <t>BMW</t>
  </si>
  <si>
    <t>Audi</t>
  </si>
  <si>
    <r>
      <t xml:space="preserve">Below in the </t>
    </r>
    <r>
      <rPr>
        <b/>
        <sz val="11"/>
        <color theme="1"/>
        <rFont val="Calibri"/>
        <family val="2"/>
        <scheme val="minor"/>
      </rPr>
      <t>Lookup</t>
    </r>
    <r>
      <rPr>
        <sz val="11"/>
        <color theme="1"/>
        <rFont val="Calibri"/>
        <family val="2"/>
        <scheme val="minor"/>
      </rPr>
      <t xml:space="preserve"> table, we have cost for different parts for different car makers. Use VLOOKUP() to get costs infront of items in the second table</t>
    </r>
  </si>
  <si>
    <t xml:space="preserve"> =VLOOKUP(B31,$A$24:$B$28,2,FALSE)</t>
  </si>
  <si>
    <t xml:space="preserve"> =VLOOKUP(B32,$A$24:$C$28,3,FALSE)</t>
  </si>
  <si>
    <t xml:space="preserve"> =VLOOKUP(B33,$A$24:$D$28,4,FALSE)</t>
  </si>
  <si>
    <t xml:space="preserve"> =VLOOKUP(B34,$A$24:$D$28,4,FALSE)</t>
  </si>
  <si>
    <t xml:space="preserve"> =VLOOKUP(B35,$A$24:$B$28,2,FALSE)</t>
  </si>
  <si>
    <t xml:space="preserve"> =VLOOKUP(B36,$A$24:$B$28,2,FALSE)</t>
  </si>
  <si>
    <t xml:space="preserve"> =VLOOKUP(B37,$A$24:$C$28,3,FALSE)</t>
  </si>
  <si>
    <t xml:space="preserve"> =VLOOKUP(B38,$A$24:$C$28,3,FALSE)</t>
  </si>
  <si>
    <t>1) The first parameter relates to spare part for which we want to get the costs
2) The second part refers to the data range - so Mercedes spare part information is available in second column ofthe 'LookUp table' - so that is why you select only first 2 columns - 1st one consists of the spare part name which we are searching for and the second one consists of its cost. For BMW that information is available in 3rd column, thus our data range consists of 3 columns for the second paramter
3) The 3rd parameter refers to from which column we want to return the value, for Mercedes that would be 2nd column of the selected range, for BMW it would be 3rd and for Audi it would be 4th
4) FALSE refers to us wanting an exact match and not an approximate one</t>
  </si>
  <si>
    <t>Below are 3 tables, the first one consists of costs of 4 Items, the second one consists of its sales price. Use VLOOKUP function to put the cost and sales price in 3rd table and then use Units and the difference between Sales Price and Cost to calculate profit or loss</t>
  </si>
  <si>
    <t>Item Name</t>
  </si>
  <si>
    <t>Pen</t>
  </si>
  <si>
    <t>Pencil</t>
  </si>
  <si>
    <t>Notepad</t>
  </si>
  <si>
    <t>Ink</t>
  </si>
  <si>
    <t>Sales Price</t>
  </si>
  <si>
    <t>Table 3</t>
  </si>
  <si>
    <t>Total Profit</t>
  </si>
  <si>
    <t xml:space="preserve"> =VLOOKUP(A54,$A$46:$B$49,2,FALSE)</t>
  </si>
  <si>
    <t xml:space="preserve"> =VLOOKUP(A55,$A$46:$B$49,2,FALSE)</t>
  </si>
  <si>
    <t xml:space="preserve"> =VLOOKUP(A56,$A$46:$B$49,2,FALSE)</t>
  </si>
  <si>
    <t xml:space="preserve"> =VLOOKUP(A57,$A$46:$B$49,2,FALSE)</t>
  </si>
  <si>
    <t>Formula for Cost</t>
  </si>
  <si>
    <t xml:space="preserve"> =VLOOKUP(A54,$D$46:$E$49,2,FALSE)</t>
  </si>
  <si>
    <t xml:space="preserve"> =VLOOKUP(A55,$D$46:$E$49,2,FALSE)</t>
  </si>
  <si>
    <t xml:space="preserve"> =VLOOKUP(A56,$D$46:$E$49,2,FALSE)</t>
  </si>
  <si>
    <t xml:space="preserve"> =VLOOKUP(A57,$D$46:$E$49,2,FALSE)</t>
  </si>
  <si>
    <t>Formula for Sales Price</t>
  </si>
  <si>
    <t>It is optional - it has 2 values - TRUE for approximate match and FALSE (which is default value) for exact match of the value we are searching for in a table</t>
  </si>
  <si>
    <t>Eraser</t>
  </si>
  <si>
    <t xml:space="preserve"> =VLOOKUP(A58,$A$46:$B$49,2,FALSE)</t>
  </si>
  <si>
    <t xml:space="preserve"> =VLOOKUP(A58,$D$46:$E$49,2,FALSE)</t>
  </si>
  <si>
    <t>Since Eraser was not present in Table 1 and in Table 2, excel returns an error #N/A implying that the data we are searching for is not present</t>
  </si>
  <si>
    <t>Below are 3 different tables, in the first table we have employees and their designation, in the second table we have their names and salary and in the 3rd one we have their names and department. Use Vlookup() to fill all these details in the 4th table</t>
  </si>
  <si>
    <t>The table in which we are checking for this value to be present and from which we want to retrieve data. By pressing F2 key when you have selected your table, you fix the range. So when you copy formula from one cell to another, the range does not update automatically</t>
  </si>
  <si>
    <t>E Name</t>
  </si>
  <si>
    <t>Ben</t>
  </si>
  <si>
    <t>Ken</t>
  </si>
  <si>
    <t>Rachel</t>
  </si>
  <si>
    <t>Katie</t>
  </si>
  <si>
    <t>Helen</t>
  </si>
  <si>
    <t>Analayst</t>
  </si>
  <si>
    <t>Dept</t>
  </si>
  <si>
    <t>Table 4</t>
  </si>
  <si>
    <t>Richard</t>
  </si>
  <si>
    <t>Total Profit = (Sales Price-Cost)*Units</t>
  </si>
  <si>
    <r>
      <t xml:space="preserve">Below in the </t>
    </r>
    <r>
      <rPr>
        <b/>
        <sz val="11"/>
        <color theme="1"/>
        <rFont val="Calibri"/>
        <family val="2"/>
        <scheme val="minor"/>
      </rPr>
      <t>Lookup</t>
    </r>
    <r>
      <rPr>
        <sz val="11"/>
        <color theme="1"/>
        <rFont val="Calibri"/>
        <family val="2"/>
        <scheme val="minor"/>
      </rPr>
      <t xml:space="preserve"> table, we have cost for different parts for different car makers. Use VLOOKUP() to get costs of items in the second table</t>
    </r>
  </si>
  <si>
    <t>Costs</t>
  </si>
  <si>
    <t>Gearbox</t>
  </si>
  <si>
    <t>This function is similar to VLOOKUP. In a VLOOKUP, we look at columns, whereas in HLOOKUP, we look at rows. The HLOOKUP function looks for a value in the first row of a table, and returns a value from the same column in that table.</t>
  </si>
  <si>
    <t>Row_Index_Num</t>
  </si>
  <si>
    <t xml:space="preserve"> =HLOOKUP(LookupValue, Table_Array, Row_Index_Num, [Range_Lookup])</t>
  </si>
  <si>
    <t>If the value is present in the table, then which row consists of the value we want the function to return</t>
  </si>
  <si>
    <t>It is optional - it has 2 values - TRUE for approximate match (which is default) and FALSE for exact match of the value we are searching for in a table</t>
  </si>
  <si>
    <t>Car Type</t>
  </si>
  <si>
    <t>Ferrari</t>
  </si>
  <si>
    <t>Sold By</t>
  </si>
  <si>
    <t>Alex</t>
  </si>
  <si>
    <t>Gary</t>
  </si>
  <si>
    <t>Arnold</t>
  </si>
  <si>
    <t xml:space="preserve"> =HLOOKUP(B29,$B$25:$F$26,2,FALSE)</t>
  </si>
  <si>
    <t xml:space="preserve"> =HLOOKUP(B30,$B$25:$F$26,2,FALSE)</t>
  </si>
  <si>
    <t xml:space="preserve"> =HLOOKUP(B31,$B$25:$F$26,2,FALSE)</t>
  </si>
  <si>
    <t xml:space="preserve"> =HLOOKUP(B32,$B$25:$F$26,2,FALSE)</t>
  </si>
  <si>
    <t xml:space="preserve"> =HLOOKUP(B33,$B$25:$F$26,2,FALSE)</t>
  </si>
  <si>
    <t xml:space="preserve"> =HLOOKUP(B34,$B$25:$F$26,2,FALSE)</t>
  </si>
  <si>
    <t xml:space="preserve"> =HLOOKUP(B35,$B$25:$F$26,2,FALSE)</t>
  </si>
  <si>
    <t xml:space="preserve"> =HLOOKUP(B36,$B$25:$F$26,2,FALSE)</t>
  </si>
  <si>
    <t>Below in the first table, we have sales commission for different cars. Use VLOOKUP() to get amount each employee will get based on car they sold</t>
  </si>
  <si>
    <t>1) The first parameter relates to car for which we want to get the commission amount
2) The second part refers to the data range - so car names are in the 1st row of table 1 and the commission information is in 2nd row of table 1
3) The 3rd parameter refers to from which row we want to return the value - in this case it is the 2nd row which consists of the commission amount
4) FALSE refers to us wanting an exact match and not an approximate one</t>
  </si>
  <si>
    <r>
      <t xml:space="preserve">Below in the </t>
    </r>
    <r>
      <rPr>
        <b/>
        <sz val="11"/>
        <color theme="1"/>
        <rFont val="Calibri"/>
        <family val="2"/>
        <scheme val="minor"/>
      </rPr>
      <t>Lookup</t>
    </r>
    <r>
      <rPr>
        <sz val="11"/>
        <color theme="1"/>
        <rFont val="Calibri"/>
        <family val="2"/>
        <scheme val="minor"/>
      </rPr>
      <t xml:space="preserve"> table, we have cost for different parts for different car makers. Use HLOOKUP() to get costs of items in the second table. First one has been done as an example</t>
    </r>
  </si>
  <si>
    <t xml:space="preserve"> =HLOOKUP(B50,$B$42:$B$47,6,FALSE)</t>
  </si>
  <si>
    <t xml:space="preserve"> =TRANSPOSE(Range)</t>
  </si>
  <si>
    <t>Data which you want to change from vertical to horizontal or vice-versa</t>
  </si>
  <si>
    <t>How to use Transpose function</t>
  </si>
  <si>
    <t>Use TRANSPOSE function to change the cells from vertical to horizontal</t>
  </si>
  <si>
    <t>EID</t>
  </si>
  <si>
    <t>Formula EID</t>
  </si>
  <si>
    <t>Formula Jan</t>
  </si>
  <si>
    <t xml:space="preserve"> =TRANSPOSE(A24:A26)</t>
  </si>
  <si>
    <t xml:space="preserve"> =TRANSPOSE(B24:B26)</t>
  </si>
  <si>
    <t>Use TRANSPOSE function to change the cells from vertical to horizontal for Employee ID and Feb using steps mentioned from Row 12 onwards</t>
  </si>
  <si>
    <t>This function is used to locate the position of a lookup value in a row, column, or table.</t>
  </si>
  <si>
    <t xml:space="preserve"> =MATCH (Lookupvalue, Lookup_Array, [Match_type])</t>
  </si>
  <si>
    <t>The value which needs to be looked for in a particular column, row or table</t>
  </si>
  <si>
    <t>Lookup_Array</t>
  </si>
  <si>
    <t>The column, table or table in which we are checking for this value to be present</t>
  </si>
  <si>
    <t>Match_Type</t>
  </si>
  <si>
    <t>It is optional - it has 3 values --&gt;  -1 gives the smallest value position that is greater than or equal to value we are searching, 0 gives the value for the exact search and 1 gives the largest value that is leass than or equal to the value we are searching for. Default is 1</t>
  </si>
  <si>
    <t xml:space="preserve"> =EVEN(Number/Cell)</t>
  </si>
  <si>
    <t>Cell which you want to convert to the nearest even integer</t>
  </si>
  <si>
    <t>This function rounds a positive number up and negative number down to the nearest even integer</t>
  </si>
  <si>
    <t>Use EVEN function on the following examples</t>
  </si>
  <si>
    <t xml:space="preserve"> =EVEN(A15)</t>
  </si>
  <si>
    <t xml:space="preserve"> =EVEN(A16)</t>
  </si>
  <si>
    <t xml:space="preserve"> =EVEN(A17)</t>
  </si>
  <si>
    <t xml:space="preserve"> =EVEN(A18)</t>
  </si>
  <si>
    <t>Use EVEN function and round up numbers to nearest even number</t>
  </si>
  <si>
    <t>ODD</t>
  </si>
  <si>
    <t>This function rounds a positive number up and negative number down to the nearest odd integer</t>
  </si>
  <si>
    <t xml:space="preserve"> =ODD(Number/Cell)</t>
  </si>
  <si>
    <t>Cell which you want to convert to the nearest odd integer</t>
  </si>
  <si>
    <t>Use ODD function on the following examples</t>
  </si>
  <si>
    <t xml:space="preserve"> =ODD(A15)</t>
  </si>
  <si>
    <t xml:space="preserve"> =ODD(A16)</t>
  </si>
  <si>
    <t xml:space="preserve"> =ODD(A17)</t>
  </si>
  <si>
    <t xml:space="preserve"> =ODD(A18)</t>
  </si>
  <si>
    <t>Use ODD function and round up numbers to nearest odd number</t>
  </si>
  <si>
    <t>This function returns the remainder after a number is divided by a divisor</t>
  </si>
  <si>
    <t xml:space="preserve"> =MOD(number,divisor)</t>
  </si>
  <si>
    <t>Divisor</t>
  </si>
  <si>
    <t>The number to divide with</t>
  </si>
  <si>
    <t>This is the number which you want to divide</t>
  </si>
  <si>
    <t>Use MOD function on the following examples</t>
  </si>
  <si>
    <t>Number 2</t>
  </si>
  <si>
    <t>Remainder</t>
  </si>
  <si>
    <t xml:space="preserve"> =MOD(A18,B18)</t>
  </si>
  <si>
    <t xml:space="preserve"> =MOD(A19,B19)</t>
  </si>
  <si>
    <t xml:space="preserve"> =MOD(A20,B20)</t>
  </si>
  <si>
    <t xml:space="preserve"> =MOD(A21,B21)</t>
  </si>
  <si>
    <t>Use MOD function to find the remainders</t>
  </si>
  <si>
    <t>This function returns the smallest number in a given set of values. It ignores logical values and text</t>
  </si>
  <si>
    <t>Number1,Number2 and so on..</t>
  </si>
  <si>
    <t xml:space="preserve"> =MIN(Number1,Number2 and so on..)</t>
  </si>
  <si>
    <t>List of values from which you want to find the mimimum value</t>
  </si>
  <si>
    <t>Number1</t>
  </si>
  <si>
    <t>Number2</t>
  </si>
  <si>
    <t>Number3</t>
  </si>
  <si>
    <t>b</t>
  </si>
  <si>
    <t>c</t>
  </si>
  <si>
    <t xml:space="preserve"> =MIN(A15:C15)</t>
  </si>
  <si>
    <t xml:space="preserve"> =MIN(A16:C16)</t>
  </si>
  <si>
    <t xml:space="preserve"> =MIN(A17:C17)</t>
  </si>
  <si>
    <t xml:space="preserve"> =MIN(A18:C18)</t>
  </si>
  <si>
    <t>Use MIN function to find the smallest value of the 3 numbers present for each row</t>
  </si>
  <si>
    <t>Use MIN and IF function on the following and if the value is less than 5, then flag it as 'Less than 5' else 'Greater than equal to 5'</t>
  </si>
  <si>
    <t>This function returns the largest number in a given set of values. It ignores logical values and text</t>
  </si>
  <si>
    <t xml:space="preserve"> =MAX(Number1,Number2 and so on..)</t>
  </si>
  <si>
    <t>List of values from which you want to find the maximum value</t>
  </si>
  <si>
    <t>Use MAX function to find the smallest value of the 3 numbers present for each row</t>
  </si>
  <si>
    <t xml:space="preserve"> =MAX(A15:C15)</t>
  </si>
  <si>
    <t xml:space="preserve"> =MAX(A16:C16)</t>
  </si>
  <si>
    <t xml:space="preserve"> =MAX(A17:C17)</t>
  </si>
  <si>
    <t xml:space="preserve"> =MAX(A18:C18)</t>
  </si>
  <si>
    <t>Use MAX and IF function on the following and if the value is less than 5, then flag it as 'Less than 5' else 'Greater than equal to 5'</t>
  </si>
  <si>
    <t xml:space="preserve"> =AVERAGE(Number1,Number2 and so on..)</t>
  </si>
  <si>
    <t>List of values from which you want to find the average value</t>
  </si>
  <si>
    <t>Use AVERAGE function to find the smallest value of the 3 numbers present for each row</t>
  </si>
  <si>
    <t>This function returns the average value of the given numbers - It ignores text values and blank cells</t>
  </si>
  <si>
    <t>Calculate AVERAGE for the following numbers</t>
  </si>
  <si>
    <t>This function returns the nth smallest number from the given set of values</t>
  </si>
  <si>
    <t xml:space="preserve"> =SMALL(Array, nth small number from the list)</t>
  </si>
  <si>
    <t>Array</t>
  </si>
  <si>
    <t>These are list of numbers from which nth smallest number needs to be found out</t>
  </si>
  <si>
    <t>The nth smallest number which needs to be found out like 5th smallest number etc</t>
  </si>
  <si>
    <t>nth smallest number</t>
  </si>
  <si>
    <t>Array/List of Numbers</t>
  </si>
  <si>
    <t xml:space="preserve"> =SMALL(A18:C21,D18)</t>
  </si>
  <si>
    <t xml:space="preserve"> =SMALL(A18:C21,D19)</t>
  </si>
  <si>
    <t xml:space="preserve"> =SMALL(A18:C21,D20)</t>
  </si>
  <si>
    <t xml:space="preserve"> =SMALL(A18:C21,D21)</t>
  </si>
  <si>
    <t>Use SMALL function to find the nth smallest value from the set of values in the range A18:C21</t>
  </si>
  <si>
    <t>Calculate nth smallest number for the following numbers</t>
  </si>
  <si>
    <t>This function returns the nth largest number from the given set of values</t>
  </si>
  <si>
    <t xml:space="preserve"> =LARGE(Array, nth largest number from the list)</t>
  </si>
  <si>
    <t>These are list of numbers from which nth largest number needs to be found out</t>
  </si>
  <si>
    <t>nth largest number</t>
  </si>
  <si>
    <t>The nth largest number which needs to be found out like 5th largest number etc</t>
  </si>
  <si>
    <t xml:space="preserve"> =LARGE(A18:C21,D18)</t>
  </si>
  <si>
    <t xml:space="preserve"> =LARGE(A18:C21,D19)</t>
  </si>
  <si>
    <t xml:space="preserve"> =LARGE(A18:C21,D20)</t>
  </si>
  <si>
    <t xml:space="preserve"> =LARGE(A18:C21,D21)</t>
  </si>
  <si>
    <t>Calculate nth largest number for the following numbers</t>
  </si>
  <si>
    <t>This function returns the count of number of cells which consist of numbers</t>
  </si>
  <si>
    <t xml:space="preserve"> =COUNT([value1],[value[2], and so on..)</t>
  </si>
  <si>
    <t>value1</t>
  </si>
  <si>
    <t>First cell in the range</t>
  </si>
  <si>
    <t>value 2 and so on</t>
  </si>
  <si>
    <t>Second, third and so on cells in the range</t>
  </si>
  <si>
    <t>Use COUNT function to find the number of numeric values</t>
  </si>
  <si>
    <t xml:space="preserve"> </t>
  </si>
  <si>
    <t xml:space="preserve"> =COUNT(A18:C18)</t>
  </si>
  <si>
    <t xml:space="preserve"> =COUNT(A19:C19)</t>
  </si>
  <si>
    <t xml:space="preserve"> =COUNT(A20:C20)</t>
  </si>
  <si>
    <t xml:space="preserve"> =COUNT(A21:C21)</t>
  </si>
  <si>
    <t>List of Numbers</t>
  </si>
  <si>
    <t xml:space="preserve">Use IF function to print 'Y' if count of numbers is &gt;=2 else print 'N' </t>
  </si>
  <si>
    <t>This function returns the count of number of cells which consist of numbers and meet a given condition</t>
  </si>
  <si>
    <t xml:space="preserve"> =COUNTIF(Range,Criteria)</t>
  </si>
  <si>
    <t>Range of cells which you want to count</t>
  </si>
  <si>
    <t>Condition which you want to check and then count the cells on the basis of it</t>
  </si>
  <si>
    <t>Use COUNTIF function on Col A, B, C and D to find the number of numeric values, based on values being greater or less as specified in Col E</t>
  </si>
  <si>
    <t>Values &gt; 1</t>
  </si>
  <si>
    <t>Values = 0</t>
  </si>
  <si>
    <t>Values &gt;= 2</t>
  </si>
  <si>
    <t>Values &lt; 0</t>
  </si>
  <si>
    <t xml:space="preserve"> =COUNTIF(A18:D18,"&gt;1")</t>
  </si>
  <si>
    <t xml:space="preserve"> =COUNTIF(A19:D19,"=0")</t>
  </si>
  <si>
    <t xml:space="preserve"> =COUNTIF(A20:D20,"&gt;=2")</t>
  </si>
  <si>
    <t xml:space="preserve"> =COUNTIF(A21:D21,"&lt;0")</t>
  </si>
  <si>
    <t>Values &gt; 2</t>
  </si>
  <si>
    <t>Values &gt;= 0</t>
  </si>
  <si>
    <t>Values &gt;= 20</t>
  </si>
  <si>
    <t>Values &lt;= 0</t>
  </si>
  <si>
    <t>STDEV.S</t>
  </si>
  <si>
    <t xml:space="preserve"> =STDEV.S([number1],[number2] and so on..)</t>
  </si>
  <si>
    <t>[number1],[number2] and so on..</t>
  </si>
  <si>
    <t>Numbers for which you want to find out standard deviation</t>
  </si>
  <si>
    <t>Calculate standard devation for the following set of numbers</t>
  </si>
  <si>
    <t>Range of Numbers</t>
  </si>
  <si>
    <t>STD DEV</t>
  </si>
  <si>
    <t xml:space="preserve"> =STDEV.S(A16:D16)</t>
  </si>
  <si>
    <t xml:space="preserve"> =STDEV.S(A17:D17)</t>
  </si>
  <si>
    <t xml:space="preserve"> =STDEV.S(A18:D18)</t>
  </si>
  <si>
    <t xml:space="preserve"> =STDEV.S(A19:D19)</t>
  </si>
  <si>
    <t>This function gives the standard deviation of the given set of values or range of values. In terms of statistics, the lower the standard deviation the better, as it implies that there is not much variance in the data. Blank cells, text, and error values are ignored.</t>
  </si>
  <si>
    <t>This function returns the correlation coefficient between 2 datasets. Correlation lies between -1 and 1 called negative correlation and postive correlation. For ex: as a baby grows older, the height or weight increases - implying that there is a relation between the age and height or age and weight and with the increase in one the other is also increasing i.e. positive correlation</t>
  </si>
  <si>
    <t>[Array1],[Array2]</t>
  </si>
  <si>
    <t>The 2 different arrays for which you want to calculate correlation</t>
  </si>
  <si>
    <t>Age</t>
  </si>
  <si>
    <t>Height</t>
  </si>
  <si>
    <t>Weight</t>
  </si>
  <si>
    <t>Correlation</t>
  </si>
  <si>
    <t xml:space="preserve"> =CORREL(A17:A26,B17:B26)</t>
  </si>
  <si>
    <t>Calculate correlation between Age and Weight for the following set of numbers</t>
  </si>
  <si>
    <t>Calculate correlation between Age and Height for the following set of numbers</t>
  </si>
  <si>
    <t>This function returns number which is in the middle of all numbers in a dataset</t>
  </si>
  <si>
    <t xml:space="preserve"> =MEDIAN([number1],[number2], and so on..)</t>
  </si>
  <si>
    <t>[number1],[number2], and so on..</t>
  </si>
  <si>
    <t>The list of numbers for which you want to find the median</t>
  </si>
  <si>
    <t>Calculate median for the following numbers</t>
  </si>
  <si>
    <t>Median</t>
  </si>
  <si>
    <t xml:space="preserve"> =MEDIAN(A15:A35)</t>
  </si>
  <si>
    <t xml:space="preserve"> =MEDIAN(G15:G34)</t>
  </si>
  <si>
    <t xml:space="preserve">If you sort the values ascending, and count the number of observations here, we have 21 (in Table A) and the middle observation would be 11th observation which has a value of 84. If the number of observations would have been 20 (as is the case in Table B), then median would have been 10th + 11th observation divided by 2 which </t>
  </si>
  <si>
    <t>Table A</t>
  </si>
  <si>
    <t>Table B</t>
  </si>
  <si>
    <t>PMT, NPER, PV, FV</t>
  </si>
  <si>
    <t>What does PMT do?</t>
  </si>
  <si>
    <t>Suppose person ABC buys a car and agrees to a monthly payment based on an interest rate of 4% over 4 years (i.e. 48 monthly payments). The loan amount is $80000</t>
  </si>
  <si>
    <t>Rate</t>
  </si>
  <si>
    <t xml:space="preserve"> =PMT(rate,nper, pv, [fv], [type])</t>
  </si>
  <si>
    <t>Interest Rate</t>
  </si>
  <si>
    <t>Nper</t>
  </si>
  <si>
    <t>Number of payments</t>
  </si>
  <si>
    <t>Present Value of loan taken</t>
  </si>
  <si>
    <t>FV and Type</t>
  </si>
  <si>
    <t>FV and Type are both optional arguments with FV standing for future value of the loan. Types tells whether the payment will be made at the end of the month or not</t>
  </si>
  <si>
    <t xml:space="preserve"> =PMT(B24,B25,B26)</t>
  </si>
  <si>
    <t>It calculates the payment of a loan based on constant number of payments and a fixed interest rate</t>
  </si>
  <si>
    <t>What does NPER do?</t>
  </si>
  <si>
    <t>It calculates the number of payments required based on fixed interest rate, constant periodic payments</t>
  </si>
  <si>
    <t xml:space="preserve"> =NPER(rate,pmt, pv, [fv], [type])</t>
  </si>
  <si>
    <t>Regular Payment amount</t>
  </si>
  <si>
    <t>Since payments will be monthly, dividing interest rate by 12</t>
  </si>
  <si>
    <t xml:space="preserve"> =NPER(B50,B51,B52)</t>
  </si>
  <si>
    <t>ABC will have to make 59 motnhly payments of $1,500</t>
  </si>
  <si>
    <t>What does PV do?</t>
  </si>
  <si>
    <t>It tells the present worth of the future payments (present value)</t>
  </si>
  <si>
    <t xml:space="preserve"> =PV(rate,nper, pmt, [fv], [type])</t>
  </si>
  <si>
    <t>The PMT is negative i.e. highlighted red because it is implying that ABC will have to give this much amount of money every month</t>
  </si>
  <si>
    <t>Present Value of 48 future payments of $1,806 is $79,986</t>
  </si>
  <si>
    <t>What does FV do?</t>
  </si>
  <si>
    <t>It tells the future worth of constant payments at fixed interest rate (fixed value)</t>
  </si>
  <si>
    <t xml:space="preserve"> =PV(rate,nper, pmt, [pv], [type])</t>
  </si>
  <si>
    <t>PV and Type</t>
  </si>
  <si>
    <t>PV and Type are both optional arguments with PV standing for present value of the loan. Types tells whether the payment will be made at the end of the month or not</t>
  </si>
  <si>
    <t xml:space="preserve"> =PV(B76,B78,B77)</t>
  </si>
  <si>
    <t>If FV is $0, it implies that we will be able to repay the loan of $80,000 we had initially taken by paying 48 monthly installments of $1,806 each</t>
  </si>
  <si>
    <t xml:space="preserve"> =FV(B102,B104,B103,B79)</t>
  </si>
  <si>
    <t xml:space="preserve"> =TEXT(A18, "dd/mm/yyyy")</t>
  </si>
  <si>
    <t xml:space="preserve"> =TEXT(A19, "dd/m/yyyy")</t>
  </si>
  <si>
    <t xml:space="preserve"> =TEXT(A20, "mmm dd yyyy")</t>
  </si>
  <si>
    <t xml:space="preserve"> =TEXT(A21,"mmm-yy")</t>
  </si>
  <si>
    <t xml:space="preserve"> =TEXT(A22, "0.00")</t>
  </si>
  <si>
    <t xml:space="preserve"> =TEXT(A23, "$#,##0.00")</t>
  </si>
  <si>
    <t xml:space="preserve"> =TEXT(A24, "£#,##0.00")</t>
  </si>
  <si>
    <t xml:space="preserve"> =TEXT(A25, "hh:mm")</t>
  </si>
  <si>
    <t>Col A Row 19 &amp; 20 - Excel stores dates in numbers, so that is why when we use Text with Date formats, Excel converts those numbers dates</t>
  </si>
  <si>
    <t>Write a formula using OR with IF to find if an employee should get a "GOOD" increment or not. Either Sales made by the employee should be more than 50 or he should have adhered to all HR policies</t>
  </si>
  <si>
    <t>The function removes spaces all before and following the words i.e. leading and trailing spaces - and also removes extra spaces between words but does not remove the single space between words. TRIM function is used to clean data.</t>
  </si>
  <si>
    <t xml:space="preserve"> =OR(A21&gt;0,B21&gt;0)</t>
  </si>
  <si>
    <t xml:space="preserve"> =OR(A22&gt;0,B22&gt;0)</t>
  </si>
  <si>
    <t>Use TRIM to remove spaces</t>
  </si>
  <si>
    <t>02/08/2014</t>
  </si>
  <si>
    <t>05/05/2017</t>
  </si>
  <si>
    <t>02/12/2018</t>
  </si>
  <si>
    <t xml:space="preserve"> =DATEVALUE(A15)</t>
  </si>
  <si>
    <t>This function returns current date and time in excel date and time format</t>
  </si>
  <si>
    <t xml:space="preserve"> =CORREL([Array1],[Array2])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</si>
</sst>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00_-;\-&quot;₱&quot;* #,##0.00_-;_-&quot;₱&quot;* &quot;-&quot;??_-;_-@_-"/>
    <numFmt numFmtId="165" formatCode="_-* #,##0.00_-;\-* #,##0.00_-;_-* &quot;-&quot;??_-;_-@_-"/>
    <numFmt numFmtId="166" formatCode="&quot;£&quot;#,##0;[Red]\-&quot;£&quot;#,##0"/>
    <numFmt numFmtId="167" formatCode="&quot;£&quot;#,##0.00;[Red]\-&quot;£&quot;#,##0.00"/>
    <numFmt numFmtId="168" formatCode="&quot;£&quot;#,##0_);[Red]\(&quot;£&quot;#,##0\)"/>
    <numFmt numFmtId="169" formatCode="&quot;$&quot;#,##0"/>
    <numFmt numFmtId="170" formatCode="&quot;£&quot;#,##0"/>
    <numFmt numFmtId="171" formatCode="&quot;$&quot;#,##0.00"/>
    <numFmt numFmtId="172" formatCode="[$$-409]#,##0"/>
    <numFmt numFmtId="173" formatCode="&quot;£&quot;#,##0.00"/>
    <numFmt numFmtId="174" formatCode="_-[$$-409]* #,##0.00_ ;_-[$$-409]* \-#,##0.00\ ;_-[$$-409]* &quot;-&quot;??_ ;_-@_ "/>
    <numFmt numFmtId="175" formatCode="#,##0.0000000"/>
    <numFmt numFmtId="176" formatCode="#,##0.000"/>
    <numFmt numFmtId="177" formatCode="#,##0.0000"/>
    <numFmt numFmtId="178" formatCode="[$$-409]#,##0;[Red][$$-409]#,##0"/>
    <numFmt numFmtId="179" formatCode="[$$-409]#,##0.00_ ;[Red]\-[$$-409]#,##0.00\ "/>
    <numFmt numFmtId="180" formatCode="[$$-409]#,##0_ ;[Red]\-[$$-409]#,##0\ "/>
    <numFmt numFmtId="181" formatCode="_-[$£-809]* #,##0_-;\-[$£-809]* #,##0_-;_-[$£-809]* &quot;-&quot;??_-;_-@_-"/>
    <numFmt numFmtId="182" formatCode="_-[$₱-3409]* #,##0.00_-;\-[$₱-3409]* #,##0.00_-;_-[$₱-3409]* &quot;-&quot;??_-;_-@_-"/>
    <numFmt numFmtId="194" formatCode="_([$$-409]* #,##0_);_([$$-409]* \(#,##0\);_([$$-409]* &quot;-&quot;??_);_(@_)"/>
  </numFmts>
  <fonts count="28">
    <font>
      <sz val="11"/>
      <color theme="1"/>
      <name val="Calibri"/>
      <family val="2"/>
      <scheme val="minor"/>
    </font>
    <font>
      <sz val="10"/>
      <name val="Arial"/>
      <family val="2"/>
    </font>
    <font>
      <b/>
      <sz val="10"/>
      <color indexed="8"/>
      <name val="Barclays Serif"/>
      <family val="2"/>
    </font>
    <font>
      <sz val="10"/>
      <name val="Barclays Serif"/>
      <family val="2"/>
    </font>
    <font>
      <sz val="10"/>
      <color indexed="63"/>
      <name val="Barclays Serif"/>
      <family val="2"/>
    </font>
    <font>
      <b/>
      <sz val="14"/>
      <name val="Barclays Serif"/>
      <family val="2"/>
    </font>
    <font>
      <b/>
      <sz val="14"/>
      <color indexed="8"/>
      <name val="Barclays Serif"/>
      <family val="2"/>
    </font>
    <font>
      <sz val="10"/>
      <color indexed="12"/>
      <name val="Barclays Serif"/>
      <family val="2"/>
    </font>
    <font>
      <b/>
      <sz val="10"/>
      <color indexed="63"/>
      <name val="Barclays Serif"/>
      <family val="2"/>
    </font>
    <font>
      <sz val="10"/>
      <color indexed="8"/>
      <name val="Barclays Serif"/>
      <family val="2"/>
    </font>
    <font>
      <b/>
      <sz val="10"/>
      <color indexed="9"/>
      <name val="Barclays Serif"/>
      <family val="2"/>
    </font>
    <font>
      <sz val="10"/>
      <color indexed="20"/>
      <name val="Barclays Serif"/>
      <family val="2"/>
    </font>
    <font>
      <sz val="10"/>
      <color indexed="9"/>
      <name val="Barclays Serif"/>
      <family val="2"/>
    </font>
    <font>
      <i/>
      <sz val="8"/>
      <name val="Barclays Serif"/>
      <family val="2"/>
    </font>
    <font>
      <sz val="10"/>
      <color indexed="14"/>
      <name val="Barclays Serif"/>
      <family val="2"/>
    </font>
    <font>
      <sz val="10"/>
      <color indexed="17"/>
      <name val="Barclays Serif"/>
      <family val="2"/>
    </font>
    <font>
      <b/>
      <sz val="10"/>
      <name val="Barclays Serif"/>
      <family val="2"/>
    </font>
    <font>
      <b/>
      <sz val="11"/>
      <color theme="1"/>
      <name val="Calibri"/>
      <family val="2"/>
      <scheme val="minor"/>
    </font>
    <font>
      <b/>
      <sz val="12"/>
      <color theme="1"/>
      <name val="Calibri"/>
      <family val="2"/>
      <scheme val="minor"/>
    </font>
    <font>
      <b/>
      <sz val="14"/>
      <color theme="1"/>
      <name val="Calibri"/>
      <family val="2"/>
      <scheme val="minor"/>
    </font>
    <font>
      <b/>
      <sz val="24"/>
      <color theme="1"/>
      <name val="Calibri"/>
      <family val="2"/>
      <scheme val="minor"/>
    </font>
    <font>
      <b/>
      <sz val="12"/>
      <color rgb="FF0070C0"/>
      <name val="Calibri"/>
      <family val="2"/>
      <scheme val="minor"/>
    </font>
    <font>
      <sz val="11"/>
      <color rgb="FFFF0000"/>
      <name val="Calibri"/>
      <family val="2"/>
      <scheme val="minor"/>
    </font>
    <font>
      <b/>
      <sz val="11"/>
      <color rgb="FFFF0000"/>
      <name val="Calibri"/>
      <family val="2"/>
      <scheme val="minor"/>
    </font>
    <font>
      <sz val="11"/>
      <color theme="1"/>
      <name val="Calibri"/>
      <family val="2"/>
      <scheme val="minor"/>
    </font>
    <font>
      <sz val="11"/>
      <color rgb="FF0000FF"/>
      <name val="Calibri"/>
      <family val="2"/>
      <scheme val="minor"/>
    </font>
    <font>
      <sz val="10"/>
      <color rgb="FFFF0000"/>
      <name val="Barclays Serif"/>
      <family val="2"/>
    </font>
    <font>
      <sz val="14"/>
      <color theme="1"/>
      <name val="Calibri"/>
      <family val="2"/>
      <scheme val="minor"/>
    </font>
  </fonts>
  <fills count="7">
    <fill>
      <patternFill patternType="none"/>
    </fill>
    <fill>
      <patternFill patternType="gray125"/>
    </fill>
    <fill>
      <patternFill patternType="solid">
        <fgColor indexed="9"/>
        <bgColor indexed="64"/>
      </patternFill>
    </fill>
    <fill>
      <patternFill patternType="solid">
        <fgColor indexed="18"/>
        <bgColor indexed="64"/>
      </patternFill>
    </fill>
    <fill>
      <patternFill patternType="solid">
        <fgColor indexed="22"/>
      </patternFill>
    </fill>
    <fill>
      <patternFill patternType="solid">
        <fgColor indexed="26"/>
      </patternFill>
    </fill>
    <fill>
      <patternFill patternType="solid">
        <fgColor theme="4" tint="0.59999389629810485"/>
        <bgColor indexed="64"/>
      </patternFill>
    </fill>
  </fills>
  <borders count="41">
    <border>
      <left/>
      <right/>
      <top/>
      <bottom/>
      <diagonal/>
    </border>
    <border>
      <left style="thin">
        <color indexed="8"/>
      </left>
      <right style="thin">
        <color indexed="8"/>
      </right>
      <top style="thin">
        <color indexed="8"/>
      </top>
      <bottom style="thin">
        <color indexed="8"/>
      </bottom>
      <diagonal/>
    </border>
    <border>
      <left/>
      <right/>
      <top/>
      <bottom style="thick">
        <color indexed="64"/>
      </bottom>
      <diagonal/>
    </border>
    <border>
      <left/>
      <right/>
      <top/>
      <bottom style="medium">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uble">
        <color indexed="14"/>
      </left>
      <right style="thin">
        <color indexed="64"/>
      </right>
      <top style="double">
        <color indexed="14"/>
      </top>
      <bottom style="double">
        <color indexed="14"/>
      </bottom>
      <diagonal/>
    </border>
    <border>
      <left style="thin">
        <color indexed="64"/>
      </left>
      <right style="thin">
        <color indexed="64"/>
      </right>
      <top style="double">
        <color indexed="14"/>
      </top>
      <bottom style="double">
        <color indexed="14"/>
      </bottom>
      <diagonal/>
    </border>
    <border>
      <left style="thin">
        <color indexed="64"/>
      </left>
      <right style="double">
        <color indexed="14"/>
      </right>
      <top style="double">
        <color indexed="14"/>
      </top>
      <bottom style="double">
        <color indexed="14"/>
      </bottom>
      <diagonal/>
    </border>
    <border>
      <left style="double">
        <color indexed="17"/>
      </left>
      <right style="thin">
        <color indexed="64"/>
      </right>
      <top style="double">
        <color indexed="17"/>
      </top>
      <bottom style="thin">
        <color indexed="64"/>
      </bottom>
      <diagonal/>
    </border>
    <border>
      <left style="thin">
        <color indexed="64"/>
      </left>
      <right style="thin">
        <color indexed="64"/>
      </right>
      <top style="double">
        <color indexed="17"/>
      </top>
      <bottom style="thin">
        <color indexed="64"/>
      </bottom>
      <diagonal/>
    </border>
    <border>
      <left style="thin">
        <color indexed="64"/>
      </left>
      <right style="double">
        <color indexed="17"/>
      </right>
      <top style="double">
        <color indexed="17"/>
      </top>
      <bottom style="thin">
        <color indexed="64"/>
      </bottom>
      <diagonal/>
    </border>
    <border>
      <left style="double">
        <color indexed="17"/>
      </left>
      <right style="thin">
        <color indexed="64"/>
      </right>
      <top style="thin">
        <color indexed="64"/>
      </top>
      <bottom style="thin">
        <color indexed="64"/>
      </bottom>
      <diagonal/>
    </border>
    <border>
      <left style="thin">
        <color indexed="64"/>
      </left>
      <right style="double">
        <color indexed="17"/>
      </right>
      <top style="thin">
        <color indexed="64"/>
      </top>
      <bottom style="thin">
        <color indexed="64"/>
      </bottom>
      <diagonal/>
    </border>
    <border>
      <left style="double">
        <color indexed="17"/>
      </left>
      <right style="thin">
        <color indexed="64"/>
      </right>
      <top style="thin">
        <color indexed="64"/>
      </top>
      <bottom style="double">
        <color indexed="17"/>
      </bottom>
      <diagonal/>
    </border>
    <border>
      <left style="thin">
        <color indexed="64"/>
      </left>
      <right style="thin">
        <color indexed="64"/>
      </right>
      <top style="thin">
        <color indexed="64"/>
      </top>
      <bottom style="double">
        <color indexed="17"/>
      </bottom>
      <diagonal/>
    </border>
    <border>
      <left style="thin">
        <color indexed="64"/>
      </left>
      <right style="double">
        <color indexed="17"/>
      </right>
      <top style="thin">
        <color indexed="64"/>
      </top>
      <bottom style="double">
        <color indexed="17"/>
      </bottom>
      <diagonal/>
    </border>
    <border>
      <left style="double">
        <color indexed="17"/>
      </left>
      <right style="thin">
        <color indexed="64"/>
      </right>
      <top style="double">
        <color indexed="17"/>
      </top>
      <bottom/>
      <diagonal/>
    </border>
    <border>
      <left style="thin">
        <color indexed="64"/>
      </left>
      <right style="thin">
        <color indexed="64"/>
      </right>
      <top style="double">
        <color indexed="17"/>
      </top>
      <bottom/>
      <diagonal/>
    </border>
    <border>
      <left style="thin">
        <color indexed="64"/>
      </left>
      <right style="double">
        <color indexed="17"/>
      </right>
      <top style="double">
        <color indexed="17"/>
      </top>
      <bottom/>
      <diagonal/>
    </border>
    <border>
      <left style="double">
        <color indexed="14"/>
      </left>
      <right style="thin">
        <color indexed="64"/>
      </right>
      <top style="double">
        <color indexed="14"/>
      </top>
      <bottom style="thin">
        <color indexed="64"/>
      </bottom>
      <diagonal/>
    </border>
    <border>
      <left style="thin">
        <color indexed="64"/>
      </left>
      <right style="thin">
        <color indexed="64"/>
      </right>
      <top style="double">
        <color indexed="14"/>
      </top>
      <bottom style="thin">
        <color indexed="64"/>
      </bottom>
      <diagonal/>
    </border>
    <border>
      <left style="thin">
        <color indexed="64"/>
      </left>
      <right style="double">
        <color indexed="14"/>
      </right>
      <top style="double">
        <color indexed="14"/>
      </top>
      <bottom style="thin">
        <color indexed="64"/>
      </bottom>
      <diagonal/>
    </border>
    <border>
      <left style="double">
        <color indexed="14"/>
      </left>
      <right style="thin">
        <color indexed="64"/>
      </right>
      <top style="thin">
        <color indexed="64"/>
      </top>
      <bottom style="thin">
        <color indexed="64"/>
      </bottom>
      <diagonal/>
    </border>
    <border>
      <left style="thin">
        <color indexed="64"/>
      </left>
      <right style="double">
        <color indexed="14"/>
      </right>
      <top style="thin">
        <color indexed="64"/>
      </top>
      <bottom style="thin">
        <color indexed="64"/>
      </bottom>
      <diagonal/>
    </border>
    <border>
      <left style="double">
        <color indexed="14"/>
      </left>
      <right style="thin">
        <color indexed="64"/>
      </right>
      <top style="thin">
        <color indexed="64"/>
      </top>
      <bottom style="double">
        <color indexed="14"/>
      </bottom>
      <diagonal/>
    </border>
    <border>
      <left style="thin">
        <color indexed="64"/>
      </left>
      <right style="thin">
        <color indexed="64"/>
      </right>
      <top style="thin">
        <color indexed="64"/>
      </top>
      <bottom style="double">
        <color indexed="14"/>
      </bottom>
      <diagonal/>
    </border>
    <border>
      <left style="thin">
        <color indexed="64"/>
      </left>
      <right style="double">
        <color indexed="14"/>
      </right>
      <top style="thin">
        <color indexed="64"/>
      </top>
      <bottom style="double">
        <color indexed="1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8">
    <xf numFmtId="0" fontId="0" fillId="0" borderId="0"/>
    <xf numFmtId="0" fontId="1" fillId="0" borderId="0"/>
    <xf numFmtId="0" fontId="1" fillId="4" borderId="0" applyNumberFormat="0" applyFont="0" applyBorder="0" applyAlignment="0" applyProtection="0"/>
    <xf numFmtId="0" fontId="1" fillId="5" borderId="0" applyNumberFormat="0" applyFont="0" applyBorder="0" applyAlignment="0" applyProtection="0"/>
    <xf numFmtId="165" fontId="24" fillId="0" borderId="0" applyFont="0" applyFill="0" applyBorder="0" applyAlignment="0" applyProtection="0"/>
    <xf numFmtId="9" fontId="24" fillId="0" borderId="0" applyFont="0" applyFill="0" applyBorder="0" applyAlignment="0" applyProtection="0"/>
    <xf numFmtId="0" fontId="27" fillId="0" borderId="0"/>
    <xf numFmtId="164" fontId="24" fillId="0" borderId="0" applyFont="0" applyFill="0" applyBorder="0" applyAlignment="0" applyProtection="0"/>
  </cellStyleXfs>
  <cellXfs count="316">
    <xf numFmtId="0" fontId="0" fillId="0" borderId="0" xfId="0"/>
    <xf numFmtId="0" fontId="3" fillId="2" borderId="0" xfId="1" applyFont="1" applyFill="1"/>
    <xf numFmtId="0" fontId="4" fillId="2" borderId="0" xfId="1" applyFont="1" applyFill="1"/>
    <xf numFmtId="0" fontId="5" fillId="2" borderId="0" xfId="1" applyFont="1" applyFill="1"/>
    <xf numFmtId="0" fontId="6" fillId="2" borderId="2" xfId="1" applyFont="1" applyFill="1" applyBorder="1"/>
    <xf numFmtId="0" fontId="2" fillId="2" borderId="3" xfId="1" applyFont="1" applyFill="1" applyBorder="1"/>
    <xf numFmtId="0" fontId="7" fillId="2" borderId="0" xfId="1" applyFont="1" applyFill="1"/>
    <xf numFmtId="0" fontId="3" fillId="2" borderId="0" xfId="1" quotePrefix="1" applyFont="1" applyFill="1"/>
    <xf numFmtId="0" fontId="9" fillId="2" borderId="0" xfId="1" applyFont="1" applyFill="1"/>
    <xf numFmtId="0" fontId="10" fillId="3" borderId="0" xfId="1" applyFont="1" applyFill="1"/>
    <xf numFmtId="0" fontId="10" fillId="3" borderId="4" xfId="2" applyFont="1" applyFill="1" applyBorder="1" applyAlignment="1">
      <alignment horizontal="center"/>
    </xf>
    <xf numFmtId="0" fontId="9" fillId="2" borderId="4" xfId="2" applyFont="1" applyFill="1" applyBorder="1" applyAlignment="1">
      <alignment horizontal="center"/>
    </xf>
    <xf numFmtId="0" fontId="11" fillId="2" borderId="4" xfId="3" applyFont="1" applyFill="1" applyBorder="1" applyAlignment="1">
      <alignment horizontal="center"/>
    </xf>
    <xf numFmtId="0" fontId="12" fillId="2" borderId="0" xfId="1" applyFont="1" applyFill="1" applyBorder="1"/>
    <xf numFmtId="0" fontId="12" fillId="2" borderId="0" xfId="2" applyFont="1" applyFill="1" applyBorder="1" applyAlignment="1">
      <alignment horizontal="center"/>
    </xf>
    <xf numFmtId="0" fontId="12" fillId="2" borderId="0" xfId="3" applyFont="1" applyFill="1" applyBorder="1" applyAlignment="1">
      <alignment horizontal="center"/>
    </xf>
    <xf numFmtId="0" fontId="3" fillId="2" borderId="0" xfId="1" applyFont="1" applyFill="1" applyBorder="1"/>
    <xf numFmtId="0" fontId="7" fillId="2" borderId="0" xfId="1" applyFont="1" applyFill="1" applyBorder="1"/>
    <xf numFmtId="0" fontId="10" fillId="3" borderId="4" xfId="3" applyFont="1" applyFill="1" applyBorder="1" applyAlignment="1">
      <alignment horizontal="center"/>
    </xf>
    <xf numFmtId="0" fontId="9" fillId="2" borderId="4" xfId="3" applyFont="1" applyFill="1" applyBorder="1" applyAlignment="1">
      <alignment horizontal="center"/>
    </xf>
    <xf numFmtId="0" fontId="7" fillId="2" borderId="0" xfId="3" applyFont="1" applyFill="1" applyBorder="1" applyAlignment="1">
      <alignment horizontal="center"/>
    </xf>
    <xf numFmtId="0" fontId="7" fillId="2" borderId="4" xfId="3" applyFont="1" applyFill="1" applyBorder="1" applyAlignment="1">
      <alignment horizontal="center"/>
    </xf>
    <xf numFmtId="0" fontId="3" fillId="2" borderId="0" xfId="1" applyFont="1" applyFill="1" applyBorder="1" applyAlignment="1">
      <alignment horizontal="center"/>
    </xf>
    <xf numFmtId="0" fontId="2" fillId="2" borderId="0" xfId="1" applyFont="1" applyFill="1" applyBorder="1"/>
    <xf numFmtId="0" fontId="3" fillId="2" borderId="0" xfId="1" quotePrefix="1" applyFont="1" applyFill="1" applyBorder="1"/>
    <xf numFmtId="0" fontId="6" fillId="2" borderId="0" xfId="1" applyFont="1" applyFill="1" applyBorder="1"/>
    <xf numFmtId="0" fontId="13" fillId="2" borderId="0" xfId="1" applyFont="1" applyFill="1"/>
    <xf numFmtId="0" fontId="10" fillId="3" borderId="0" xfId="1" applyFont="1" applyFill="1" applyAlignment="1">
      <alignment horizontal="center"/>
    </xf>
    <xf numFmtId="0" fontId="3" fillId="2" borderId="4" xfId="2" applyFont="1" applyFill="1" applyBorder="1" applyAlignment="1">
      <alignment horizontal="center"/>
    </xf>
    <xf numFmtId="0" fontId="3" fillId="2" borderId="5" xfId="2" applyFont="1" applyFill="1" applyBorder="1"/>
    <xf numFmtId="0" fontId="3" fillId="2" borderId="6" xfId="2" applyFont="1" applyFill="1" applyBorder="1"/>
    <xf numFmtId="0" fontId="3" fillId="2" borderId="6" xfId="2" applyFont="1" applyFill="1" applyBorder="1" applyAlignment="1">
      <alignment horizontal="right"/>
    </xf>
    <xf numFmtId="0" fontId="8" fillId="2" borderId="1" xfId="1" applyFont="1" applyFill="1" applyBorder="1" applyAlignment="1">
      <alignment horizontal="left" vertical="top" wrapText="1"/>
    </xf>
    <xf numFmtId="0" fontId="4" fillId="2" borderId="1" xfId="1" applyFont="1" applyFill="1" applyBorder="1" applyAlignment="1">
      <alignment horizontal="left" vertical="top" wrapText="1"/>
    </xf>
    <xf numFmtId="0" fontId="4" fillId="2" borderId="1" xfId="1" quotePrefix="1" applyFont="1" applyFill="1" applyBorder="1" applyAlignment="1">
      <alignment horizontal="left" vertical="top" wrapText="1"/>
    </xf>
    <xf numFmtId="0" fontId="7" fillId="2" borderId="0" xfId="1" applyFont="1" applyFill="1" applyAlignment="1">
      <alignment horizontal="center"/>
    </xf>
    <xf numFmtId="0" fontId="14" fillId="2" borderId="4" xfId="3" applyFont="1" applyFill="1" applyBorder="1" applyAlignment="1">
      <alignment horizontal="center"/>
    </xf>
    <xf numFmtId="0" fontId="15" fillId="2" borderId="4" xfId="3" applyFont="1" applyFill="1" applyBorder="1" applyAlignment="1">
      <alignment horizontal="center"/>
    </xf>
    <xf numFmtId="168" fontId="7" fillId="2" borderId="4" xfId="3" applyNumberFormat="1" applyFont="1" applyFill="1" applyBorder="1" applyAlignment="1">
      <alignment horizontal="right"/>
    </xf>
    <xf numFmtId="0" fontId="14" fillId="2" borderId="7" xfId="2" applyFont="1" applyFill="1" applyBorder="1" applyAlignment="1">
      <alignment horizontal="center"/>
    </xf>
    <xf numFmtId="0" fontId="14" fillId="2" borderId="8" xfId="2" applyFont="1" applyFill="1" applyBorder="1" applyAlignment="1">
      <alignment horizontal="center"/>
    </xf>
    <xf numFmtId="0" fontId="14" fillId="2" borderId="9" xfId="2" applyFont="1" applyFill="1" applyBorder="1" applyAlignment="1">
      <alignment horizontal="center"/>
    </xf>
    <xf numFmtId="0" fontId="15" fillId="2" borderId="10" xfId="2" applyFont="1" applyFill="1" applyBorder="1"/>
    <xf numFmtId="0" fontId="11" fillId="2" borderId="11" xfId="3" applyFont="1" applyFill="1" applyBorder="1" applyAlignment="1">
      <alignment horizontal="center"/>
    </xf>
    <xf numFmtId="0" fontId="11" fillId="2" borderId="12" xfId="3" applyFont="1" applyFill="1" applyBorder="1" applyAlignment="1">
      <alignment horizontal="center"/>
    </xf>
    <xf numFmtId="0" fontId="15" fillId="2" borderId="13" xfId="2" applyFont="1" applyFill="1" applyBorder="1"/>
    <xf numFmtId="0" fontId="11" fillId="2" borderId="14" xfId="3" applyFont="1" applyFill="1" applyBorder="1" applyAlignment="1">
      <alignment horizontal="center"/>
    </xf>
    <xf numFmtId="0" fontId="15" fillId="2" borderId="15" xfId="2" applyFont="1" applyFill="1" applyBorder="1"/>
    <xf numFmtId="0" fontId="11" fillId="2" borderId="16" xfId="3" applyFont="1" applyFill="1" applyBorder="1" applyAlignment="1">
      <alignment horizontal="center"/>
    </xf>
    <xf numFmtId="0" fontId="11" fillId="2" borderId="17" xfId="3" applyFont="1" applyFill="1" applyBorder="1" applyAlignment="1">
      <alignment horizontal="center"/>
    </xf>
    <xf numFmtId="0" fontId="3" fillId="2" borderId="0" xfId="2" applyFont="1" applyFill="1" applyAlignment="1">
      <alignment horizontal="centerContinuous"/>
    </xf>
    <xf numFmtId="0" fontId="16" fillId="2" borderId="18" xfId="2" applyFont="1" applyFill="1" applyBorder="1"/>
    <xf numFmtId="0" fontId="16" fillId="2" borderId="19" xfId="2" applyFont="1" applyFill="1" applyBorder="1"/>
    <xf numFmtId="0" fontId="16" fillId="2" borderId="20" xfId="2" applyFont="1" applyFill="1" applyBorder="1"/>
    <xf numFmtId="0" fontId="16" fillId="2" borderId="10" xfId="2" applyFont="1" applyFill="1" applyBorder="1" applyAlignment="1">
      <alignment horizontal="center"/>
    </xf>
    <xf numFmtId="168" fontId="11" fillId="2" borderId="12" xfId="3" applyNumberFormat="1" applyFont="1" applyFill="1" applyBorder="1" applyAlignment="1">
      <alignment horizontal="center"/>
    </xf>
    <xf numFmtId="0" fontId="16" fillId="2" borderId="21" xfId="2" applyFont="1" applyFill="1" applyBorder="1"/>
    <xf numFmtId="9" fontId="11" fillId="2" borderId="22" xfId="3" applyNumberFormat="1" applyFont="1" applyFill="1" applyBorder="1"/>
    <xf numFmtId="9" fontId="11" fillId="2" borderId="23" xfId="3" applyNumberFormat="1" applyFont="1" applyFill="1" applyBorder="1"/>
    <xf numFmtId="0" fontId="16" fillId="2" borderId="13" xfId="2" applyFont="1" applyFill="1" applyBorder="1" applyAlignment="1">
      <alignment horizontal="center"/>
    </xf>
    <xf numFmtId="168" fontId="11" fillId="2" borderId="14" xfId="3" applyNumberFormat="1" applyFont="1" applyFill="1" applyBorder="1" applyAlignment="1">
      <alignment horizontal="center"/>
    </xf>
    <xf numFmtId="0" fontId="16" fillId="2" borderId="24" xfId="2" applyFont="1" applyFill="1" applyBorder="1"/>
    <xf numFmtId="9" fontId="11" fillId="2" borderId="4" xfId="3" applyNumberFormat="1" applyFont="1" applyFill="1" applyBorder="1"/>
    <xf numFmtId="9" fontId="11" fillId="2" borderId="25" xfId="3" applyNumberFormat="1" applyFont="1" applyFill="1" applyBorder="1"/>
    <xf numFmtId="0" fontId="16" fillId="2" borderId="15" xfId="2" applyFont="1" applyFill="1" applyBorder="1" applyAlignment="1">
      <alignment horizontal="center"/>
    </xf>
    <xf numFmtId="168" fontId="11" fillId="2" borderId="17" xfId="3" applyNumberFormat="1" applyFont="1" applyFill="1" applyBorder="1" applyAlignment="1">
      <alignment horizontal="center"/>
    </xf>
    <xf numFmtId="0" fontId="16" fillId="2" borderId="26" xfId="2" applyFont="1" applyFill="1" applyBorder="1"/>
    <xf numFmtId="9" fontId="11" fillId="2" borderId="27" xfId="3" applyNumberFormat="1" applyFont="1" applyFill="1" applyBorder="1"/>
    <xf numFmtId="9" fontId="11" fillId="2" borderId="28" xfId="3" applyNumberFormat="1" applyFont="1" applyFill="1" applyBorder="1"/>
    <xf numFmtId="168" fontId="7" fillId="2" borderId="4" xfId="3" applyNumberFormat="1" applyFont="1" applyFill="1" applyBorder="1" applyAlignment="1">
      <alignment horizontal="center"/>
    </xf>
    <xf numFmtId="9" fontId="7" fillId="2" borderId="4" xfId="3" applyNumberFormat="1" applyFont="1" applyFill="1" applyBorder="1" applyAlignment="1">
      <alignment horizontal="center"/>
    </xf>
    <xf numFmtId="0" fontId="10" fillId="3" borderId="1" xfId="1" applyFont="1" applyFill="1" applyBorder="1" applyAlignment="1">
      <alignment horizontal="left" vertical="top" wrapText="1"/>
    </xf>
    <xf numFmtId="0" fontId="0" fillId="0" borderId="0" xfId="0" applyAlignment="1">
      <alignment horizontal="center"/>
    </xf>
    <xf numFmtId="0" fontId="18" fillId="0" borderId="0" xfId="0" applyFont="1"/>
    <xf numFmtId="0" fontId="19" fillId="0" borderId="0" xfId="0" applyFont="1"/>
    <xf numFmtId="0" fontId="20" fillId="0" borderId="2" xfId="0" applyFont="1" applyBorder="1"/>
    <xf numFmtId="0" fontId="0" fillId="0" borderId="2" xfId="0" applyBorder="1"/>
    <xf numFmtId="0" fontId="0" fillId="0" borderId="4" xfId="0" applyBorder="1" applyAlignment="1">
      <alignment horizontal="center"/>
    </xf>
    <xf numFmtId="0" fontId="17" fillId="0" borderId="4" xfId="0" applyFont="1" applyBorder="1" applyAlignment="1">
      <alignment horizontal="center"/>
    </xf>
    <xf numFmtId="0" fontId="17" fillId="0" borderId="4" xfId="0" applyFont="1" applyFill="1" applyBorder="1" applyAlignment="1">
      <alignment horizontal="center"/>
    </xf>
    <xf numFmtId="0" fontId="21" fillId="0" borderId="0" xfId="0" applyFont="1"/>
    <xf numFmtId="169" fontId="17" fillId="0" borderId="4" xfId="0" applyNumberFormat="1" applyFont="1" applyBorder="1" applyAlignment="1">
      <alignment horizontal="center"/>
    </xf>
    <xf numFmtId="0" fontId="17" fillId="0" borderId="4" xfId="0" applyFont="1" applyFill="1" applyBorder="1" applyAlignment="1">
      <alignment horizontal="center"/>
    </xf>
    <xf numFmtId="0" fontId="0" fillId="0" borderId="4" xfId="0" applyFont="1" applyFill="1" applyBorder="1" applyAlignment="1">
      <alignment horizontal="center"/>
    </xf>
    <xf numFmtId="0" fontId="17" fillId="0" borderId="4" xfId="0" applyFont="1" applyBorder="1" applyAlignment="1">
      <alignment horizontal="center" vertical="center" wrapText="1"/>
    </xf>
    <xf numFmtId="0" fontId="17" fillId="0" borderId="4" xfId="0" applyFont="1" applyBorder="1" applyAlignment="1">
      <alignment horizontal="center"/>
    </xf>
    <xf numFmtId="0" fontId="0" fillId="0" borderId="4" xfId="0" applyBorder="1"/>
    <xf numFmtId="169" fontId="0" fillId="0" borderId="4" xfId="0" applyNumberFormat="1" applyBorder="1" applyAlignment="1">
      <alignment horizontal="center"/>
    </xf>
    <xf numFmtId="0" fontId="0" fillId="0" borderId="0" xfId="0" applyAlignment="1">
      <alignment horizontal="left" vertical="top" wrapText="1"/>
    </xf>
    <xf numFmtId="1" fontId="17" fillId="0" borderId="4" xfId="0" applyNumberFormat="1" applyFont="1" applyBorder="1" applyAlignment="1">
      <alignment horizontal="center"/>
    </xf>
    <xf numFmtId="0" fontId="0" fillId="0" borderId="0" xfId="0" applyFill="1" applyBorder="1" applyAlignment="1">
      <alignment horizontal="left" vertical="top" wrapText="1"/>
    </xf>
    <xf numFmtId="0" fontId="0" fillId="0" borderId="0" xfId="0" applyAlignment="1">
      <alignment horizontal="left" vertical="top" wrapText="1"/>
    </xf>
    <xf numFmtId="0" fontId="17" fillId="0" borderId="4" xfId="0" applyFont="1" applyFill="1" applyBorder="1" applyAlignment="1">
      <alignment horizontal="center"/>
    </xf>
    <xf numFmtId="0" fontId="0" fillId="0" borderId="4" xfId="0" applyFont="1" applyFill="1" applyBorder="1" applyAlignment="1">
      <alignment horizontal="center"/>
    </xf>
    <xf numFmtId="0" fontId="17" fillId="0" borderId="4" xfId="0" applyFont="1" applyBorder="1" applyAlignment="1">
      <alignment horizontal="center" vertical="center" wrapText="1"/>
    </xf>
    <xf numFmtId="0" fontId="0" fillId="0" borderId="4" xfId="0" quotePrefix="1" applyBorder="1" applyAlignment="1">
      <alignment horizontal="center"/>
    </xf>
    <xf numFmtId="0" fontId="17" fillId="0" borderId="34" xfId="0" applyFont="1" applyFill="1" applyBorder="1" applyAlignment="1">
      <alignment horizontal="center"/>
    </xf>
    <xf numFmtId="0" fontId="17" fillId="0" borderId="4" xfId="0" applyFont="1" applyBorder="1" applyAlignment="1">
      <alignment horizontal="center" vertical="center"/>
    </xf>
    <xf numFmtId="0" fontId="17" fillId="0" borderId="4" xfId="0" applyFont="1" applyFill="1" applyBorder="1" applyAlignment="1">
      <alignment horizontal="center" vertical="center" wrapText="1"/>
    </xf>
    <xf numFmtId="0" fontId="0" fillId="0" borderId="4" xfId="0" applyBorder="1" applyAlignment="1">
      <alignment horizontal="center" vertical="center"/>
    </xf>
    <xf numFmtId="0" fontId="23" fillId="0" borderId="4" xfId="0" applyFont="1" applyBorder="1" applyAlignment="1">
      <alignment horizontal="center"/>
    </xf>
    <xf numFmtId="0" fontId="23" fillId="0" borderId="4" xfId="0" applyFont="1" applyBorder="1" applyAlignment="1">
      <alignment horizontal="center" vertical="center"/>
    </xf>
    <xf numFmtId="170" fontId="17" fillId="0" borderId="4" xfId="0" applyNumberFormat="1" applyFont="1" applyBorder="1" applyAlignment="1">
      <alignment horizontal="center"/>
    </xf>
    <xf numFmtId="0" fontId="23" fillId="0" borderId="4" xfId="0" quotePrefix="1" applyFont="1" applyBorder="1" applyAlignment="1">
      <alignment horizontal="center"/>
    </xf>
    <xf numFmtId="14" fontId="0" fillId="0" borderId="4" xfId="0" quotePrefix="1" applyNumberFormat="1" applyBorder="1" applyAlignment="1">
      <alignment horizontal="center"/>
    </xf>
    <xf numFmtId="2" fontId="0" fillId="0" borderId="0" xfId="0" applyNumberFormat="1"/>
    <xf numFmtId="20" fontId="0" fillId="0" borderId="4" xfId="0" quotePrefix="1" applyNumberFormat="1" applyBorder="1" applyAlignment="1">
      <alignment horizontal="center"/>
    </xf>
    <xf numFmtId="14" fontId="0" fillId="0" borderId="4" xfId="0" applyNumberFormat="1" applyBorder="1" applyAlignment="1">
      <alignment horizontal="center"/>
    </xf>
    <xf numFmtId="20" fontId="0" fillId="0" borderId="4" xfId="0" applyNumberFormat="1" applyBorder="1" applyAlignment="1">
      <alignment horizontal="center"/>
    </xf>
    <xf numFmtId="167" fontId="0" fillId="0" borderId="4" xfId="0" applyNumberFormat="1" applyBorder="1" applyAlignment="1">
      <alignment horizontal="center"/>
    </xf>
    <xf numFmtId="166" fontId="0" fillId="0" borderId="4" xfId="0" applyNumberFormat="1" applyBorder="1" applyAlignment="1">
      <alignment horizontal="center"/>
    </xf>
    <xf numFmtId="0" fontId="0" fillId="0" borderId="4" xfId="0" applyFont="1" applyBorder="1" applyAlignment="1">
      <alignment horizontal="center"/>
    </xf>
    <xf numFmtId="0" fontId="20" fillId="0" borderId="2" xfId="0" applyFont="1" applyBorder="1" applyAlignment="1">
      <alignment vertical="top"/>
    </xf>
    <xf numFmtId="0" fontId="0" fillId="0" borderId="0" xfId="0" applyAlignment="1">
      <alignment horizontal="left" vertical="center" wrapText="1"/>
    </xf>
    <xf numFmtId="0" fontId="0" fillId="0" borderId="0" xfId="0" applyAlignment="1">
      <alignment horizontal="left" vertical="top" wrapText="1"/>
    </xf>
    <xf numFmtId="0" fontId="17" fillId="0" borderId="4" xfId="0" applyFont="1" applyFill="1" applyBorder="1" applyAlignment="1">
      <alignment horizontal="center"/>
    </xf>
    <xf numFmtId="0" fontId="17" fillId="0" borderId="4" xfId="0" applyFont="1" applyBorder="1" applyAlignment="1">
      <alignment horizontal="center"/>
    </xf>
    <xf numFmtId="0" fontId="0" fillId="0" borderId="4" xfId="0" applyBorder="1" applyAlignment="1">
      <alignment horizontal="center"/>
    </xf>
    <xf numFmtId="0" fontId="0" fillId="0" borderId="0" xfId="0" applyAlignment="1">
      <alignment horizontal="left" vertical="center" wrapText="1"/>
    </xf>
    <xf numFmtId="0" fontId="0" fillId="0" borderId="0" xfId="0" applyAlignment="1">
      <alignment horizontal="left" vertical="top" wrapText="1"/>
    </xf>
    <xf numFmtId="0" fontId="17" fillId="0" borderId="4" xfId="0" applyFont="1" applyBorder="1" applyAlignment="1">
      <alignment horizontal="center"/>
    </xf>
    <xf numFmtId="0" fontId="0" fillId="0" borderId="4" xfId="0" applyBorder="1" applyAlignment="1">
      <alignment horizontal="center"/>
    </xf>
    <xf numFmtId="0" fontId="0" fillId="0" borderId="0" xfId="0" applyAlignment="1">
      <alignment horizontal="left" vertical="center" wrapText="1"/>
    </xf>
    <xf numFmtId="171" fontId="0" fillId="0" borderId="4" xfId="0" applyNumberFormat="1" applyBorder="1" applyAlignment="1">
      <alignment horizontal="center"/>
    </xf>
    <xf numFmtId="0" fontId="0" fillId="0" borderId="4" xfId="0" applyFont="1" applyBorder="1" applyAlignment="1">
      <alignment horizontal="center"/>
    </xf>
    <xf numFmtId="0" fontId="0" fillId="0" borderId="0" xfId="0" applyAlignment="1">
      <alignment horizontal="left" vertical="top"/>
    </xf>
    <xf numFmtId="0" fontId="0" fillId="0" borderId="0" xfId="0" applyBorder="1" applyAlignment="1">
      <alignment horizontal="center"/>
    </xf>
    <xf numFmtId="0" fontId="0" fillId="0" borderId="0" xfId="0" applyAlignment="1">
      <alignment horizontal="left" vertical="top" wrapText="1"/>
    </xf>
    <xf numFmtId="0" fontId="17" fillId="0" borderId="4" xfId="0" applyFont="1" applyFill="1" applyBorder="1" applyAlignment="1">
      <alignment horizontal="center"/>
    </xf>
    <xf numFmtId="0" fontId="0" fillId="0" borderId="4" xfId="0" applyFill="1" applyBorder="1" applyAlignment="1">
      <alignment horizontal="center"/>
    </xf>
    <xf numFmtId="0" fontId="17" fillId="0" borderId="4" xfId="0" applyFont="1" applyBorder="1" applyAlignment="1">
      <alignment horizontal="center" vertical="center" wrapText="1"/>
    </xf>
    <xf numFmtId="0" fontId="17" fillId="0" borderId="4" xfId="0" applyFont="1" applyBorder="1" applyAlignment="1">
      <alignment horizontal="center"/>
    </xf>
    <xf numFmtId="0" fontId="0" fillId="0" borderId="4" xfId="0" applyBorder="1" applyAlignment="1">
      <alignment horizontal="center"/>
    </xf>
    <xf numFmtId="0" fontId="0" fillId="0" borderId="4" xfId="0" applyBorder="1" applyAlignment="1">
      <alignment horizontal="left"/>
    </xf>
    <xf numFmtId="0" fontId="0" fillId="0" borderId="4" xfId="0" applyBorder="1" applyAlignment="1">
      <alignment horizontal="center" vertical="center" wrapText="1"/>
    </xf>
    <xf numFmtId="0" fontId="0" fillId="0" borderId="0" xfId="0" applyAlignment="1">
      <alignment horizontal="left" vertical="center" wrapText="1"/>
    </xf>
    <xf numFmtId="0" fontId="0" fillId="0" borderId="4" xfId="0" applyBorder="1" applyAlignment="1">
      <alignment horizontal="center" vertical="center"/>
    </xf>
    <xf numFmtId="0" fontId="17" fillId="0" borderId="4" xfId="0" applyFont="1" applyBorder="1" applyAlignment="1">
      <alignment horizontal="center" vertical="center"/>
    </xf>
    <xf numFmtId="14" fontId="0" fillId="0" borderId="0" xfId="0" applyNumberFormat="1" applyAlignment="1">
      <alignment horizontal="left" vertical="center" wrapText="1"/>
    </xf>
    <xf numFmtId="2" fontId="0" fillId="0" borderId="0" xfId="0" applyNumberFormat="1" applyAlignment="1">
      <alignment horizontal="left" vertical="center" wrapText="1"/>
    </xf>
    <xf numFmtId="1" fontId="0" fillId="0" borderId="4" xfId="0" applyNumberFormat="1" applyBorder="1" applyAlignment="1">
      <alignment horizontal="center"/>
    </xf>
    <xf numFmtId="1" fontId="0" fillId="0" borderId="4" xfId="0" applyNumberFormat="1" applyFont="1" applyBorder="1" applyAlignment="1">
      <alignment horizontal="center"/>
    </xf>
    <xf numFmtId="14" fontId="0" fillId="0" borderId="4" xfId="0" quotePrefix="1" applyNumberFormat="1" applyBorder="1" applyAlignment="1">
      <alignment horizontal="left"/>
    </xf>
    <xf numFmtId="1" fontId="0" fillId="0" borderId="4" xfId="0" applyNumberFormat="1" applyFont="1" applyFill="1" applyBorder="1" applyAlignment="1">
      <alignment horizontal="center"/>
    </xf>
    <xf numFmtId="0" fontId="17" fillId="0" borderId="4" xfId="0" applyFont="1" applyFill="1" applyBorder="1" applyAlignment="1">
      <alignment horizontal="center"/>
    </xf>
    <xf numFmtId="0" fontId="17" fillId="0" borderId="4" xfId="0" applyFont="1" applyBorder="1" applyAlignment="1">
      <alignment horizontal="center"/>
    </xf>
    <xf numFmtId="0" fontId="0" fillId="0" borderId="4" xfId="0" applyBorder="1" applyAlignment="1">
      <alignment horizontal="center"/>
    </xf>
    <xf numFmtId="0" fontId="0" fillId="0" borderId="0" xfId="0" applyAlignment="1">
      <alignment horizontal="left" vertical="center" wrapText="1"/>
    </xf>
    <xf numFmtId="22" fontId="0" fillId="0" borderId="0" xfId="0" applyNumberFormat="1"/>
    <xf numFmtId="14" fontId="0" fillId="0" borderId="0" xfId="0" applyNumberFormat="1"/>
    <xf numFmtId="0" fontId="17" fillId="0" borderId="0" xfId="0" applyFont="1"/>
    <xf numFmtId="1" fontId="0" fillId="0" borderId="4" xfId="0" quotePrefix="1" applyNumberFormat="1" applyBorder="1" applyAlignment="1">
      <alignment horizontal="center"/>
    </xf>
    <xf numFmtId="14" fontId="0" fillId="6" borderId="4" xfId="0" applyNumberFormat="1" applyFill="1" applyBorder="1" applyAlignment="1">
      <alignment horizontal="center"/>
    </xf>
    <xf numFmtId="0" fontId="0" fillId="6" borderId="4" xfId="0" applyFill="1" applyBorder="1" applyAlignment="1">
      <alignment horizontal="center"/>
    </xf>
    <xf numFmtId="0" fontId="0" fillId="0" borderId="33" xfId="0" applyBorder="1" applyAlignment="1">
      <alignment horizontal="center"/>
    </xf>
    <xf numFmtId="0" fontId="17" fillId="0" borderId="4" xfId="0" applyFont="1" applyFill="1" applyBorder="1" applyAlignment="1">
      <alignment horizontal="center" vertical="center"/>
    </xf>
    <xf numFmtId="172" fontId="0" fillId="0" borderId="4" xfId="0" applyNumberFormat="1" applyFont="1" applyFill="1" applyBorder="1" applyAlignment="1">
      <alignment horizontal="center"/>
    </xf>
    <xf numFmtId="172" fontId="0" fillId="0" borderId="4" xfId="0" applyNumberFormat="1" applyBorder="1" applyAlignment="1">
      <alignment horizontal="center"/>
    </xf>
    <xf numFmtId="172" fontId="0" fillId="0" borderId="4" xfId="0" applyNumberFormat="1" applyBorder="1" applyAlignment="1">
      <alignment horizontal="center" vertical="center" wrapText="1"/>
    </xf>
    <xf numFmtId="3" fontId="0" fillId="0" borderId="4" xfId="4" applyNumberFormat="1" applyFont="1" applyBorder="1" applyAlignment="1">
      <alignment horizontal="center"/>
    </xf>
    <xf numFmtId="173" fontId="0" fillId="0" borderId="4" xfId="0" applyNumberFormat="1" applyFont="1" applyFill="1" applyBorder="1" applyAlignment="1">
      <alignment horizontal="center"/>
    </xf>
    <xf numFmtId="173" fontId="0" fillId="0" borderId="4" xfId="0" applyNumberFormat="1" applyBorder="1" applyAlignment="1">
      <alignment horizontal="center"/>
    </xf>
    <xf numFmtId="170" fontId="0" fillId="0" borderId="4" xfId="0" applyNumberFormat="1" applyFont="1" applyFill="1" applyBorder="1" applyAlignment="1">
      <alignment horizontal="center"/>
    </xf>
    <xf numFmtId="170" fontId="0" fillId="0" borderId="4" xfId="0" applyNumberFormat="1" applyBorder="1" applyAlignment="1">
      <alignment horizontal="center"/>
    </xf>
    <xf numFmtId="1" fontId="0" fillId="0" borderId="4" xfId="0" applyNumberFormat="1" applyBorder="1" applyAlignment="1">
      <alignment horizontal="center" vertical="center" wrapText="1"/>
    </xf>
    <xf numFmtId="0" fontId="0" fillId="0" borderId="0" xfId="0" applyAlignment="1">
      <alignment horizontal="left" vertical="top" wrapText="1"/>
    </xf>
    <xf numFmtId="0" fontId="17" fillId="0" borderId="4" xfId="0" applyFont="1" applyFill="1" applyBorder="1" applyAlignment="1">
      <alignment horizontal="center"/>
    </xf>
    <xf numFmtId="0" fontId="17" fillId="0" borderId="4" xfId="0" applyFont="1" applyBorder="1" applyAlignment="1">
      <alignment horizontal="center"/>
    </xf>
    <xf numFmtId="0" fontId="0" fillId="0" borderId="4" xfId="0" applyBorder="1" applyAlignment="1">
      <alignment horizontal="center"/>
    </xf>
    <xf numFmtId="0" fontId="0" fillId="0" borderId="0" xfId="0" applyAlignment="1">
      <alignment horizontal="left" vertical="center" wrapText="1"/>
    </xf>
    <xf numFmtId="0" fontId="0" fillId="0" borderId="4" xfId="0" applyFont="1" applyBorder="1" applyAlignment="1">
      <alignment horizontal="center"/>
    </xf>
    <xf numFmtId="1" fontId="0" fillId="0" borderId="4" xfId="0" applyNumberFormat="1" applyBorder="1" applyAlignment="1">
      <alignment horizontal="center"/>
    </xf>
    <xf numFmtId="175" fontId="0" fillId="0" borderId="4" xfId="4" applyNumberFormat="1" applyFont="1" applyBorder="1" applyAlignment="1">
      <alignment horizontal="center"/>
    </xf>
    <xf numFmtId="0" fontId="17" fillId="0" borderId="4" xfId="0" applyFont="1" applyFill="1" applyBorder="1" applyAlignment="1">
      <alignment horizontal="center"/>
    </xf>
    <xf numFmtId="0" fontId="0" fillId="0" borderId="4" xfId="0" applyFont="1" applyFill="1" applyBorder="1" applyAlignment="1">
      <alignment horizontal="center"/>
    </xf>
    <xf numFmtId="0" fontId="17" fillId="0" borderId="4" xfId="0" applyFont="1" applyBorder="1" applyAlignment="1">
      <alignment horizontal="center"/>
    </xf>
    <xf numFmtId="0" fontId="0" fillId="0" borderId="4" xfId="0" applyBorder="1" applyAlignment="1">
      <alignment horizontal="center"/>
    </xf>
    <xf numFmtId="0" fontId="0" fillId="0" borderId="0" xfId="0" applyAlignment="1">
      <alignment horizontal="left" vertical="center" wrapText="1"/>
    </xf>
    <xf numFmtId="0" fontId="0" fillId="0" borderId="4" xfId="0" applyFont="1" applyBorder="1" applyAlignment="1">
      <alignment horizontal="center"/>
    </xf>
    <xf numFmtId="4" fontId="0" fillId="0" borderId="4" xfId="0" applyNumberFormat="1" applyBorder="1" applyAlignment="1">
      <alignment horizontal="center"/>
    </xf>
    <xf numFmtId="176" fontId="0" fillId="0" borderId="4" xfId="0" applyNumberFormat="1" applyBorder="1" applyAlignment="1">
      <alignment horizontal="center"/>
    </xf>
    <xf numFmtId="3" fontId="0" fillId="0" borderId="4" xfId="0" applyNumberFormat="1" applyBorder="1" applyAlignment="1">
      <alignment horizontal="center"/>
    </xf>
    <xf numFmtId="177" fontId="0" fillId="0" borderId="4" xfId="4" applyNumberFormat="1" applyFont="1" applyBorder="1" applyAlignment="1">
      <alignment horizontal="center"/>
    </xf>
    <xf numFmtId="176" fontId="0" fillId="0" borderId="4" xfId="4" applyNumberFormat="1" applyFont="1" applyBorder="1" applyAlignment="1">
      <alignment horizontal="center"/>
    </xf>
    <xf numFmtId="4" fontId="0" fillId="0" borderId="4" xfId="4" applyNumberFormat="1" applyFont="1" applyBorder="1" applyAlignment="1">
      <alignment horizontal="center"/>
    </xf>
    <xf numFmtId="178" fontId="0" fillId="0" borderId="4" xfId="0" applyNumberFormat="1" applyBorder="1" applyAlignment="1">
      <alignment horizontal="center"/>
    </xf>
    <xf numFmtId="179" fontId="0" fillId="0" borderId="4" xfId="0" applyNumberFormat="1" applyBorder="1" applyAlignment="1">
      <alignment horizontal="center"/>
    </xf>
    <xf numFmtId="179" fontId="25" fillId="0" borderId="4" xfId="0" applyNumberFormat="1" applyFont="1" applyBorder="1" applyAlignment="1">
      <alignment horizontal="center"/>
    </xf>
    <xf numFmtId="179" fontId="22" fillId="0" borderId="4" xfId="0" applyNumberFormat="1" applyFont="1" applyBorder="1" applyAlignment="1">
      <alignment horizontal="center"/>
    </xf>
    <xf numFmtId="180" fontId="0" fillId="0" borderId="4" xfId="0" applyNumberFormat="1" applyBorder="1" applyAlignment="1">
      <alignment horizontal="center"/>
    </xf>
    <xf numFmtId="0" fontId="17" fillId="0" borderId="34" xfId="0" applyFont="1" applyFill="1" applyBorder="1" applyAlignment="1">
      <alignment horizontal="left"/>
    </xf>
    <xf numFmtId="0" fontId="0" fillId="0" borderId="0" xfId="0" applyFont="1" applyAlignment="1">
      <alignment horizontal="left" vertical="top"/>
    </xf>
    <xf numFmtId="168" fontId="7" fillId="2" borderId="4" xfId="3" applyNumberFormat="1" applyFont="1" applyFill="1" applyBorder="1" applyAlignment="1">
      <alignment horizontal="left"/>
    </xf>
    <xf numFmtId="0" fontId="26" fillId="2" borderId="0" xfId="1" applyFont="1" applyFill="1"/>
    <xf numFmtId="0" fontId="26" fillId="2" borderId="0" xfId="1" applyFont="1" applyFill="1" applyBorder="1"/>
    <xf numFmtId="0" fontId="0" fillId="0" borderId="0" xfId="0" applyAlignment="1">
      <alignment horizontal="left" vertical="top" wrapText="1"/>
    </xf>
    <xf numFmtId="0" fontId="0" fillId="0" borderId="4" xfId="0" applyFont="1" applyFill="1" applyBorder="1" applyAlignment="1">
      <alignment horizontal="center"/>
    </xf>
    <xf numFmtId="0" fontId="0" fillId="0" borderId="5" xfId="0" applyBorder="1" applyAlignment="1">
      <alignment horizontal="center"/>
    </xf>
    <xf numFmtId="0" fontId="17" fillId="0" borderId="4" xfId="0" applyFont="1" applyBorder="1" applyAlignment="1">
      <alignment horizontal="center" vertical="center" wrapText="1"/>
    </xf>
    <xf numFmtId="0" fontId="0" fillId="0" borderId="4" xfId="0" applyBorder="1" applyAlignment="1">
      <alignment horizontal="center"/>
    </xf>
    <xf numFmtId="0" fontId="0" fillId="0" borderId="4" xfId="0" applyBorder="1" applyAlignment="1">
      <alignment horizontal="center" vertical="center" wrapText="1"/>
    </xf>
    <xf numFmtId="0" fontId="0" fillId="0" borderId="0" xfId="0" applyAlignment="1">
      <alignment horizontal="left" vertical="center" wrapText="1"/>
    </xf>
    <xf numFmtId="0" fontId="0" fillId="0" borderId="4" xfId="0" applyFont="1" applyBorder="1" applyAlignment="1">
      <alignment horizontal="center"/>
    </xf>
    <xf numFmtId="0" fontId="17" fillId="0" borderId="4" xfId="0" applyFont="1" applyBorder="1" applyAlignment="1">
      <alignment horizontal="left" vertical="center" wrapText="1"/>
    </xf>
    <xf numFmtId="0" fontId="0" fillId="0" borderId="0" xfId="0" applyAlignment="1">
      <alignment vertical="center" wrapText="1"/>
    </xf>
    <xf numFmtId="0" fontId="17" fillId="0" borderId="4" xfId="0" applyFont="1" applyFill="1" applyBorder="1" applyAlignment="1">
      <alignment horizontal="center" vertical="center" wrapText="1"/>
    </xf>
    <xf numFmtId="0" fontId="0" fillId="0" borderId="0" xfId="0" applyFont="1" applyFill="1" applyBorder="1" applyAlignment="1">
      <alignment horizontal="left"/>
    </xf>
    <xf numFmtId="0" fontId="17" fillId="0" borderId="5" xfId="0" applyFont="1" applyFill="1" applyBorder="1" applyAlignment="1">
      <alignment horizontal="center" vertical="center" wrapText="1"/>
    </xf>
    <xf numFmtId="0" fontId="0" fillId="0" borderId="0" xfId="0" applyAlignment="1">
      <alignment horizontal="left" vertical="center"/>
    </xf>
    <xf numFmtId="0" fontId="17" fillId="0" borderId="0" xfId="0" applyFont="1" applyAlignment="1">
      <alignment horizontal="left" vertical="center" wrapText="1"/>
    </xf>
    <xf numFmtId="0" fontId="0" fillId="0" borderId="4" xfId="0" applyBorder="1" applyAlignment="1">
      <alignment horizontal="left" vertical="center" wrapText="1"/>
    </xf>
    <xf numFmtId="10" fontId="0" fillId="0" borderId="4" xfId="5" applyNumberFormat="1" applyFont="1" applyBorder="1" applyAlignment="1">
      <alignment horizontal="center" vertical="center" wrapText="1"/>
    </xf>
    <xf numFmtId="178" fontId="0" fillId="0" borderId="4" xfId="0" applyNumberFormat="1" applyBorder="1" applyAlignment="1">
      <alignment horizontal="center" vertical="center" wrapText="1"/>
    </xf>
    <xf numFmtId="1" fontId="0" fillId="0" borderId="32" xfId="0" applyNumberFormat="1" applyBorder="1" applyAlignment="1">
      <alignment horizontal="center" vertical="center" wrapText="1"/>
    </xf>
    <xf numFmtId="0" fontId="17" fillId="0" borderId="4" xfId="0" applyFont="1" applyBorder="1" applyAlignment="1">
      <alignment horizontal="center"/>
    </xf>
    <xf numFmtId="0" fontId="0" fillId="0" borderId="4" xfId="0" applyBorder="1" applyAlignment="1">
      <alignment horizontal="center"/>
    </xf>
    <xf numFmtId="0" fontId="17" fillId="0" borderId="0" xfId="0" applyFont="1" applyFill="1" applyBorder="1" applyAlignment="1">
      <alignment horizontal="center"/>
    </xf>
    <xf numFmtId="0" fontId="0" fillId="0" borderId="0" xfId="0" applyFont="1" applyFill="1" applyBorder="1" applyAlignment="1">
      <alignment horizontal="center"/>
    </xf>
    <xf numFmtId="174" fontId="0" fillId="0" borderId="4" xfId="7" applyNumberFormat="1" applyFont="1" applyBorder="1"/>
    <xf numFmtId="181" fontId="17" fillId="0" borderId="4" xfId="0" applyNumberFormat="1" applyFont="1" applyBorder="1" applyAlignment="1">
      <alignment horizontal="center"/>
    </xf>
    <xf numFmtId="182" fontId="0" fillId="0" borderId="4" xfId="5" applyNumberFormat="1" applyFont="1" applyBorder="1" applyAlignment="1">
      <alignment horizontal="center"/>
    </xf>
    <xf numFmtId="0" fontId="0" fillId="0" borderId="4" xfId="0" applyFont="1" applyFill="1" applyBorder="1" applyAlignment="1">
      <alignment horizontal="center"/>
    </xf>
    <xf numFmtId="0" fontId="0" fillId="0" borderId="4" xfId="0" applyBorder="1" applyAlignment="1">
      <alignment horizontal="center"/>
    </xf>
    <xf numFmtId="1" fontId="0" fillId="0" borderId="4" xfId="0" applyNumberFormat="1" applyFont="1" applyFill="1" applyBorder="1" applyAlignment="1">
      <alignment horizontal="center"/>
    </xf>
    <xf numFmtId="1" fontId="0" fillId="0" borderId="4" xfId="0" applyNumberFormat="1" applyBorder="1" applyAlignment="1">
      <alignment horizontal="center"/>
    </xf>
    <xf numFmtId="14" fontId="0" fillId="0" borderId="4" xfId="0" applyNumberFormat="1" applyBorder="1" applyAlignment="1">
      <alignment horizontal="center"/>
    </xf>
    <xf numFmtId="0" fontId="0" fillId="0" borderId="4" xfId="0" applyNumberFormat="1" applyBorder="1" applyAlignment="1">
      <alignment horizontal="center"/>
    </xf>
    <xf numFmtId="0" fontId="0" fillId="0" borderId="0" xfId="0" applyAlignment="1">
      <alignment horizontal="left" vertical="top" wrapText="1"/>
    </xf>
    <xf numFmtId="0" fontId="0" fillId="0" borderId="0" xfId="0" applyFill="1" applyBorder="1" applyAlignment="1">
      <alignment horizontal="left" vertical="top" wrapText="1"/>
    </xf>
    <xf numFmtId="0" fontId="17" fillId="0" borderId="4" xfId="0" applyFont="1" applyFill="1" applyBorder="1" applyAlignment="1">
      <alignment horizontal="center"/>
    </xf>
    <xf numFmtId="0" fontId="0" fillId="0" borderId="5" xfId="0" applyFont="1" applyFill="1" applyBorder="1" applyAlignment="1">
      <alignment horizontal="center"/>
    </xf>
    <xf numFmtId="0" fontId="0" fillId="0" borderId="6" xfId="0" applyFont="1" applyFill="1" applyBorder="1" applyAlignment="1">
      <alignment horizontal="center"/>
    </xf>
    <xf numFmtId="0" fontId="0" fillId="0" borderId="29" xfId="0" applyFont="1" applyFill="1" applyBorder="1" applyAlignment="1">
      <alignment horizontal="center"/>
    </xf>
    <xf numFmtId="0" fontId="0" fillId="0" borderId="4" xfId="0" applyFont="1" applyFill="1" applyBorder="1" applyAlignment="1">
      <alignment horizontal="center"/>
    </xf>
    <xf numFmtId="0" fontId="0" fillId="0" borderId="5" xfId="0" applyBorder="1" applyAlignment="1">
      <alignment horizontal="center"/>
    </xf>
    <xf numFmtId="0" fontId="0" fillId="0" borderId="29" xfId="0" applyBorder="1" applyAlignment="1">
      <alignment horizontal="center"/>
    </xf>
    <xf numFmtId="0" fontId="0" fillId="0" borderId="5" xfId="0" applyFill="1" applyBorder="1" applyAlignment="1">
      <alignment horizontal="center"/>
    </xf>
    <xf numFmtId="0" fontId="0" fillId="0" borderId="6" xfId="0" applyFill="1" applyBorder="1" applyAlignment="1">
      <alignment horizontal="center"/>
    </xf>
    <xf numFmtId="0" fontId="0" fillId="0" borderId="29" xfId="0" applyFill="1" applyBorder="1" applyAlignment="1">
      <alignment horizontal="center"/>
    </xf>
    <xf numFmtId="0" fontId="0" fillId="0" borderId="4" xfId="0" applyFill="1" applyBorder="1" applyAlignment="1">
      <alignment horizontal="center"/>
    </xf>
    <xf numFmtId="0" fontId="20" fillId="0" borderId="2" xfId="0" applyFont="1" applyBorder="1" applyAlignment="1">
      <alignment horizontal="left"/>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4" xfId="0" applyFont="1" applyBorder="1" applyAlignment="1">
      <alignment horizontal="center"/>
    </xf>
    <xf numFmtId="0" fontId="0" fillId="0" borderId="4" xfId="0" applyBorder="1" applyAlignment="1">
      <alignment horizontal="center"/>
    </xf>
    <xf numFmtId="0" fontId="20" fillId="0" borderId="2" xfId="0" applyFont="1" applyBorder="1" applyAlignment="1">
      <alignment horizontal="left" wrapText="1"/>
    </xf>
    <xf numFmtId="0" fontId="0" fillId="0" borderId="5" xfId="0" applyBorder="1" applyAlignment="1">
      <alignment horizontal="left"/>
    </xf>
    <xf numFmtId="0" fontId="0" fillId="0" borderId="6" xfId="0" applyBorder="1" applyAlignment="1">
      <alignment horizontal="left"/>
    </xf>
    <xf numFmtId="0" fontId="0" fillId="0" borderId="29" xfId="0" applyBorder="1" applyAlignment="1">
      <alignment horizontal="left"/>
    </xf>
    <xf numFmtId="0" fontId="0" fillId="0" borderId="4" xfId="0" applyBorder="1" applyAlignment="1">
      <alignment horizontal="left"/>
    </xf>
    <xf numFmtId="0" fontId="17" fillId="0" borderId="5" xfId="0" applyFont="1" applyBorder="1" applyAlignment="1">
      <alignment horizontal="center"/>
    </xf>
    <xf numFmtId="0" fontId="17" fillId="0" borderId="6" xfId="0" applyFont="1" applyBorder="1" applyAlignment="1">
      <alignment horizontal="center"/>
    </xf>
    <xf numFmtId="0" fontId="17" fillId="0" borderId="29" xfId="0" applyFont="1" applyBorder="1" applyAlignment="1">
      <alignment horizontal="center"/>
    </xf>
    <xf numFmtId="0" fontId="0" fillId="0" borderId="4" xfId="0" applyBorder="1" applyAlignment="1">
      <alignment horizontal="center" vertical="center" wrapText="1"/>
    </xf>
    <xf numFmtId="0" fontId="17" fillId="0" borderId="5" xfId="0" applyFont="1" applyFill="1" applyBorder="1" applyAlignment="1">
      <alignment horizontal="center"/>
    </xf>
    <xf numFmtId="0" fontId="17" fillId="0" borderId="6" xfId="0" applyFont="1" applyFill="1" applyBorder="1" applyAlignment="1">
      <alignment horizontal="center"/>
    </xf>
    <xf numFmtId="0" fontId="17" fillId="0" borderId="29" xfId="0" applyFont="1" applyFill="1" applyBorder="1" applyAlignment="1">
      <alignment horizontal="center"/>
    </xf>
    <xf numFmtId="0" fontId="20" fillId="0" borderId="2" xfId="0" applyFont="1" applyBorder="1" applyAlignment="1">
      <alignment horizontal="left" vertical="top"/>
    </xf>
    <xf numFmtId="0" fontId="0" fillId="0" borderId="0" xfId="0" applyAlignment="1">
      <alignment horizontal="left" vertical="center" wrapText="1"/>
    </xf>
    <xf numFmtId="0" fontId="0" fillId="0" borderId="4" xfId="0" applyBorder="1" applyAlignment="1">
      <alignment horizontal="center" vertical="center"/>
    </xf>
    <xf numFmtId="0" fontId="0" fillId="0" borderId="4" xfId="0" applyFont="1" applyBorder="1" applyAlignment="1">
      <alignment horizontal="center"/>
    </xf>
    <xf numFmtId="0" fontId="17" fillId="0" borderId="4" xfId="0" applyFont="1" applyBorder="1" applyAlignment="1">
      <alignment horizontal="center" vertical="center"/>
    </xf>
    <xf numFmtId="1" fontId="0" fillId="0" borderId="4" xfId="0" applyNumberFormat="1" applyFont="1" applyFill="1" applyBorder="1" applyAlignment="1">
      <alignment horizontal="center"/>
    </xf>
    <xf numFmtId="22" fontId="0" fillId="0" borderId="4" xfId="0" applyNumberFormat="1" applyBorder="1" applyAlignment="1">
      <alignment horizontal="center"/>
    </xf>
    <xf numFmtId="14" fontId="0" fillId="0" borderId="5" xfId="0" quotePrefix="1" applyNumberFormat="1" applyBorder="1" applyAlignment="1">
      <alignment horizontal="center"/>
    </xf>
    <xf numFmtId="14" fontId="0" fillId="0" borderId="6" xfId="0" quotePrefix="1" applyNumberFormat="1" applyBorder="1" applyAlignment="1">
      <alignment horizontal="center"/>
    </xf>
    <xf numFmtId="14" fontId="0" fillId="0" borderId="29" xfId="0" quotePrefix="1" applyNumberFormat="1" applyBorder="1" applyAlignment="1">
      <alignment horizontal="center"/>
    </xf>
    <xf numFmtId="1" fontId="0" fillId="0" borderId="4" xfId="0" applyNumberFormat="1" applyBorder="1" applyAlignment="1">
      <alignment horizontal="center"/>
    </xf>
    <xf numFmtId="14" fontId="0" fillId="0" borderId="4" xfId="0" applyNumberFormat="1" applyBorder="1" applyAlignment="1">
      <alignment horizontal="center"/>
    </xf>
    <xf numFmtId="14" fontId="0" fillId="6" borderId="4" xfId="0" applyNumberFormat="1" applyFill="1" applyBorder="1" applyAlignment="1">
      <alignment horizontal="center"/>
    </xf>
    <xf numFmtId="18" fontId="0" fillId="0" borderId="4" xfId="0" applyNumberFormat="1" applyBorder="1" applyAlignment="1">
      <alignment horizontal="center"/>
    </xf>
    <xf numFmtId="0" fontId="22" fillId="0" borderId="4" xfId="0" applyFont="1" applyBorder="1" applyAlignment="1">
      <alignment horizontal="center"/>
    </xf>
    <xf numFmtId="0" fontId="25" fillId="0" borderId="4" xfId="0" applyFont="1" applyBorder="1" applyAlignment="1">
      <alignment horizontal="center"/>
    </xf>
    <xf numFmtId="0" fontId="17" fillId="0" borderId="4" xfId="0" applyFont="1" applyBorder="1" applyAlignment="1">
      <alignment horizontal="center" vertical="top" wrapText="1"/>
    </xf>
    <xf numFmtId="0" fontId="17" fillId="0" borderId="4" xfId="0" applyFont="1" applyBorder="1" applyAlignment="1">
      <alignment horizontal="left" vertical="center" wrapText="1"/>
    </xf>
    <xf numFmtId="0" fontId="0" fillId="0" borderId="0" xfId="0" applyBorder="1" applyAlignment="1">
      <alignment horizontal="left" vertical="top" wrapText="1"/>
    </xf>
    <xf numFmtId="0" fontId="17" fillId="0" borderId="4" xfId="0" applyFont="1" applyFill="1" applyBorder="1" applyAlignment="1">
      <alignment horizontal="center" vertical="center"/>
    </xf>
    <xf numFmtId="0" fontId="17" fillId="0" borderId="0" xfId="0" applyFont="1" applyAlignment="1">
      <alignment horizontal="center" vertical="top"/>
    </xf>
    <xf numFmtId="174" fontId="0" fillId="0" borderId="4" xfId="0" applyNumberFormat="1" applyFont="1" applyFill="1" applyBorder="1" applyAlignment="1">
      <alignment horizontal="center" vertical="center"/>
    </xf>
    <xf numFmtId="0" fontId="0" fillId="0" borderId="4" xfId="0" applyFont="1" applyFill="1" applyBorder="1" applyAlignment="1">
      <alignment horizontal="center" vertical="center"/>
    </xf>
    <xf numFmtId="0" fontId="17" fillId="0" borderId="4" xfId="0" applyFont="1" applyBorder="1" applyAlignment="1">
      <alignment horizontal="center" vertical="top"/>
    </xf>
    <xf numFmtId="0" fontId="17" fillId="0" borderId="5" xfId="0" applyFont="1" applyBorder="1" applyAlignment="1">
      <alignment horizontal="center" vertical="top" wrapText="1"/>
    </xf>
    <xf numFmtId="0" fontId="17" fillId="0" borderId="29" xfId="0" applyFont="1" applyBorder="1" applyAlignment="1">
      <alignment horizontal="center" vertical="top" wrapText="1"/>
    </xf>
    <xf numFmtId="0" fontId="0" fillId="0" borderId="4" xfId="0" applyNumberFormat="1" applyBorder="1" applyAlignment="1">
      <alignment horizontal="center"/>
    </xf>
    <xf numFmtId="0" fontId="17" fillId="0" borderId="4" xfId="0" applyFont="1" applyFill="1" applyBorder="1" applyAlignment="1">
      <alignment horizontal="center" vertical="center" wrapText="1"/>
    </xf>
    <xf numFmtId="0" fontId="17" fillId="0" borderId="36"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38"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39"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40" xfId="0" applyFont="1" applyBorder="1" applyAlignment="1">
      <alignment horizontal="center" vertical="center" wrapText="1"/>
    </xf>
    <xf numFmtId="0" fontId="0" fillId="0" borderId="37" xfId="0" applyBorder="1" applyAlignment="1">
      <alignment horizontal="left" vertical="center" wrapText="1"/>
    </xf>
    <xf numFmtId="0" fontId="0" fillId="0" borderId="0" xfId="0" applyBorder="1" applyAlignment="1">
      <alignment horizontal="left"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38"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0" fillId="0" borderId="40" xfId="0" applyBorder="1" applyAlignment="1">
      <alignment horizontal="center" vertical="center" wrapText="1"/>
    </xf>
    <xf numFmtId="0" fontId="0" fillId="0" borderId="4" xfId="0" applyBorder="1" applyAlignment="1">
      <alignment horizontal="left" vertical="top" wrapText="1"/>
    </xf>
    <xf numFmtId="1" fontId="17" fillId="0" borderId="5" xfId="0" applyNumberFormat="1" applyFont="1" applyFill="1" applyBorder="1" applyAlignment="1">
      <alignment horizontal="center"/>
    </xf>
    <xf numFmtId="1" fontId="17" fillId="0" borderId="6" xfId="0" applyNumberFormat="1" applyFont="1" applyFill="1" applyBorder="1" applyAlignment="1">
      <alignment horizontal="center"/>
    </xf>
    <xf numFmtId="1" fontId="17" fillId="0" borderId="29" xfId="0" applyNumberFormat="1" applyFont="1" applyFill="1" applyBorder="1" applyAlignment="1">
      <alignment horizontal="center"/>
    </xf>
    <xf numFmtId="14" fontId="0" fillId="0" borderId="5" xfId="0" applyNumberFormat="1" applyFont="1" applyFill="1" applyBorder="1" applyAlignment="1">
      <alignment horizontal="center"/>
    </xf>
    <xf numFmtId="14" fontId="0" fillId="0" borderId="6" xfId="0" applyNumberFormat="1" applyFont="1" applyFill="1" applyBorder="1" applyAlignment="1">
      <alignment horizontal="center"/>
    </xf>
    <xf numFmtId="14" fontId="0" fillId="0" borderId="29" xfId="0" applyNumberFormat="1" applyFont="1" applyFill="1" applyBorder="1" applyAlignment="1">
      <alignment horizontal="center"/>
    </xf>
    <xf numFmtId="14" fontId="0" fillId="0" borderId="4" xfId="0" applyNumberFormat="1" applyFont="1" applyFill="1" applyBorder="1" applyAlignment="1">
      <alignment horizontal="center"/>
    </xf>
    <xf numFmtId="0" fontId="0" fillId="0" borderId="5" xfId="0" applyNumberFormat="1" applyBorder="1" applyAlignment="1">
      <alignment horizontal="center"/>
    </xf>
    <xf numFmtId="0" fontId="0" fillId="0" borderId="29" xfId="0" applyNumberFormat="1" applyBorder="1" applyAlignment="1">
      <alignment horizontal="center"/>
    </xf>
    <xf numFmtId="194" fontId="0" fillId="0" borderId="4" xfId="7" applyNumberFormat="1" applyFont="1" applyFill="1" applyBorder="1" applyAlignment="1">
      <alignment horizontal="center" vertical="center"/>
    </xf>
    <xf numFmtId="4" fontId="0" fillId="0" borderId="4" xfId="0" applyNumberFormat="1" applyBorder="1" applyAlignment="1">
      <alignment horizontal="center"/>
    </xf>
  </cellXfs>
  <cellStyles count="8">
    <cellStyle name="Comma" xfId="4" builtinId="3"/>
    <cellStyle name="Currency" xfId="7" builtinId="4"/>
    <cellStyle name="GreyOrWhite" xfId="2" xr:uid="{00000000-0005-0000-0000-000002000000}"/>
    <cellStyle name="Normal" xfId="0" builtinId="0"/>
    <cellStyle name="Normal 2" xfId="1" xr:uid="{00000000-0005-0000-0000-000004000000}"/>
    <cellStyle name="Normal 2 2" xfId="6" xr:uid="{00000000-0005-0000-0000-000005000000}"/>
    <cellStyle name="Percent" xfId="5" builtinId="5"/>
    <cellStyle name="Yellow" xfId="3" xr:uid="{00000000-0005-0000-0000-000007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6.jpeg"/></Relationships>
</file>

<file path=xl/drawings/_rels/drawing54.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image" Target="../media/image8.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592667</xdr:colOff>
      <xdr:row>6</xdr:row>
      <xdr:rowOff>169333</xdr:rowOff>
    </xdr:from>
    <xdr:to>
      <xdr:col>1</xdr:col>
      <xdr:colOff>762000</xdr:colOff>
      <xdr:row>12</xdr:row>
      <xdr:rowOff>31750</xdr:rowOff>
    </xdr:to>
    <xdr:cxnSp macro="">
      <xdr:nvCxnSpPr>
        <xdr:cNvPr id="5" name="Straight Arrow Connector 4">
          <a:extLst>
            <a:ext uri="{FF2B5EF4-FFF2-40B4-BE49-F238E27FC236}">
              <a16:creationId xmlns:a16="http://schemas.microsoft.com/office/drawing/2014/main" id="{00000000-0008-0000-0000-000005000000}"/>
            </a:ext>
          </a:extLst>
        </xdr:cNvPr>
        <xdr:cNvCxnSpPr/>
      </xdr:nvCxnSpPr>
      <xdr:spPr>
        <a:xfrm flipH="1">
          <a:off x="592667" y="1651000"/>
          <a:ext cx="836083" cy="836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31750</xdr:colOff>
      <xdr:row>6</xdr:row>
      <xdr:rowOff>169333</xdr:rowOff>
    </xdr:from>
    <xdr:to>
      <xdr:col>3</xdr:col>
      <xdr:colOff>338668</xdr:colOff>
      <xdr:row>15</xdr:row>
      <xdr:rowOff>52916</xdr:rowOff>
    </xdr:to>
    <xdr:cxnSp macro="">
      <xdr:nvCxnSpPr>
        <xdr:cNvPr id="6" name="Straight Arrow Connector 5">
          <a:extLst>
            <a:ext uri="{FF2B5EF4-FFF2-40B4-BE49-F238E27FC236}">
              <a16:creationId xmlns:a16="http://schemas.microsoft.com/office/drawing/2014/main" id="{00000000-0008-0000-0000-000006000000}"/>
            </a:ext>
          </a:extLst>
        </xdr:cNvPr>
        <xdr:cNvCxnSpPr/>
      </xdr:nvCxnSpPr>
      <xdr:spPr>
        <a:xfrm flipH="1">
          <a:off x="698500" y="1651000"/>
          <a:ext cx="1756835" cy="14393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555587</xdr:colOff>
      <xdr:row>3</xdr:row>
      <xdr:rowOff>10583</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57167" y="0"/>
          <a:ext cx="1645669" cy="86783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349251</xdr:colOff>
      <xdr:row>7</xdr:row>
      <xdr:rowOff>190500</xdr:rowOff>
    </xdr:from>
    <xdr:to>
      <xdr:col>0</xdr:col>
      <xdr:colOff>582083</xdr:colOff>
      <xdr:row>9</xdr:row>
      <xdr:rowOff>31750</xdr:rowOff>
    </xdr:to>
    <xdr:cxnSp macro="">
      <xdr:nvCxnSpPr>
        <xdr:cNvPr id="2" name="Straight Arrow Connector 1">
          <a:extLst>
            <a:ext uri="{FF2B5EF4-FFF2-40B4-BE49-F238E27FC236}">
              <a16:creationId xmlns:a16="http://schemas.microsoft.com/office/drawing/2014/main" id="{00000000-0008-0000-0900-000002000000}"/>
            </a:ext>
          </a:extLst>
        </xdr:cNvPr>
        <xdr:cNvCxnSpPr/>
      </xdr:nvCxnSpPr>
      <xdr:spPr>
        <a:xfrm flipH="1">
          <a:off x="349251" y="1672167"/>
          <a:ext cx="232832" cy="2328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555587</xdr:colOff>
      <xdr:row>3</xdr:row>
      <xdr:rowOff>10583</xdr:rowOff>
    </xdr:to>
    <xdr:pic>
      <xdr:nvPicPr>
        <xdr:cNvPr id="4" name="Pictur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0234" y="0"/>
          <a:ext cx="1637203" cy="85830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306917</xdr:colOff>
      <xdr:row>8</xdr:row>
      <xdr:rowOff>0</xdr:rowOff>
    </xdr:from>
    <xdr:to>
      <xdr:col>1</xdr:col>
      <xdr:colOff>296334</xdr:colOff>
      <xdr:row>9</xdr:row>
      <xdr:rowOff>74083</xdr:rowOff>
    </xdr:to>
    <xdr:cxnSp macro="">
      <xdr:nvCxnSpPr>
        <xdr:cNvPr id="2" name="Straight Arrow Connector 1">
          <a:extLst>
            <a:ext uri="{FF2B5EF4-FFF2-40B4-BE49-F238E27FC236}">
              <a16:creationId xmlns:a16="http://schemas.microsoft.com/office/drawing/2014/main" id="{00000000-0008-0000-0A00-000002000000}"/>
            </a:ext>
          </a:extLst>
        </xdr:cNvPr>
        <xdr:cNvCxnSpPr/>
      </xdr:nvCxnSpPr>
      <xdr:spPr>
        <a:xfrm flipH="1">
          <a:off x="306917" y="1873250"/>
          <a:ext cx="656167" cy="2645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555587</xdr:colOff>
      <xdr:row>3</xdr:row>
      <xdr:rowOff>10583</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0234" y="0"/>
          <a:ext cx="1637203" cy="858308"/>
        </a:xfrm>
        <a:prstGeom prst="rect">
          <a:avLst/>
        </a:prstGeom>
      </xdr:spPr>
    </xdr:pic>
    <xdr:clientData/>
  </xdr:twoCellAnchor>
  <xdr:twoCellAnchor>
    <xdr:from>
      <xdr:col>0</xdr:col>
      <xdr:colOff>232833</xdr:colOff>
      <xdr:row>7</xdr:row>
      <xdr:rowOff>158750</xdr:rowOff>
    </xdr:from>
    <xdr:to>
      <xdr:col>1</xdr:col>
      <xdr:colOff>762000</xdr:colOff>
      <xdr:row>12</xdr:row>
      <xdr:rowOff>21167</xdr:rowOff>
    </xdr:to>
    <xdr:cxnSp macro="">
      <xdr:nvCxnSpPr>
        <xdr:cNvPr id="4" name="Straight Arrow Connector 3">
          <a:extLst>
            <a:ext uri="{FF2B5EF4-FFF2-40B4-BE49-F238E27FC236}">
              <a16:creationId xmlns:a16="http://schemas.microsoft.com/office/drawing/2014/main" id="{D6AE9958-0F95-4526-B6BC-D78701FC7B91}"/>
            </a:ext>
          </a:extLst>
        </xdr:cNvPr>
        <xdr:cNvCxnSpPr/>
      </xdr:nvCxnSpPr>
      <xdr:spPr>
        <a:xfrm flipH="1">
          <a:off x="232833" y="1830917"/>
          <a:ext cx="1195917" cy="836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338667</xdr:colOff>
      <xdr:row>8</xdr:row>
      <xdr:rowOff>52917</xdr:rowOff>
    </xdr:from>
    <xdr:to>
      <xdr:col>3</xdr:col>
      <xdr:colOff>88899</xdr:colOff>
      <xdr:row>15</xdr:row>
      <xdr:rowOff>0</xdr:rowOff>
    </xdr:to>
    <xdr:cxnSp macro="">
      <xdr:nvCxnSpPr>
        <xdr:cNvPr id="6" name="Straight Arrow Connector 5">
          <a:extLst>
            <a:ext uri="{FF2B5EF4-FFF2-40B4-BE49-F238E27FC236}">
              <a16:creationId xmlns:a16="http://schemas.microsoft.com/office/drawing/2014/main" id="{22D103CA-E125-4203-9F73-ACC1D382FA20}"/>
            </a:ext>
          </a:extLst>
        </xdr:cNvPr>
        <xdr:cNvCxnSpPr/>
      </xdr:nvCxnSpPr>
      <xdr:spPr>
        <a:xfrm flipH="1">
          <a:off x="338667" y="1926167"/>
          <a:ext cx="1866899" cy="13017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560917</xdr:colOff>
      <xdr:row>8</xdr:row>
      <xdr:rowOff>46567</xdr:rowOff>
    </xdr:from>
    <xdr:to>
      <xdr:col>3</xdr:col>
      <xdr:colOff>939800</xdr:colOff>
      <xdr:row>18</xdr:row>
      <xdr:rowOff>21167</xdr:rowOff>
    </xdr:to>
    <xdr:cxnSp macro="">
      <xdr:nvCxnSpPr>
        <xdr:cNvPr id="8" name="Straight Arrow Connector 7">
          <a:extLst>
            <a:ext uri="{FF2B5EF4-FFF2-40B4-BE49-F238E27FC236}">
              <a16:creationId xmlns:a16="http://schemas.microsoft.com/office/drawing/2014/main" id="{9847FE93-1C95-4830-B071-EA305EAE477D}"/>
            </a:ext>
          </a:extLst>
        </xdr:cNvPr>
        <xdr:cNvCxnSpPr/>
      </xdr:nvCxnSpPr>
      <xdr:spPr>
        <a:xfrm flipH="1">
          <a:off x="560917" y="1919817"/>
          <a:ext cx="2495550" cy="19113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349251</xdr:colOff>
      <xdr:row>6</xdr:row>
      <xdr:rowOff>190500</xdr:rowOff>
    </xdr:from>
    <xdr:to>
      <xdr:col>0</xdr:col>
      <xdr:colOff>582083</xdr:colOff>
      <xdr:row>8</xdr:row>
      <xdr:rowOff>31750</xdr:rowOff>
    </xdr:to>
    <xdr:cxnSp macro="">
      <xdr:nvCxnSpPr>
        <xdr:cNvPr id="2" name="Straight Arrow Connector 1">
          <a:extLst>
            <a:ext uri="{FF2B5EF4-FFF2-40B4-BE49-F238E27FC236}">
              <a16:creationId xmlns:a16="http://schemas.microsoft.com/office/drawing/2014/main" id="{00000000-0008-0000-0B00-000002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0234" y="0"/>
          <a:ext cx="1637203" cy="858308"/>
        </a:xfrm>
        <a:prstGeom prst="rect">
          <a:avLst/>
        </a:prstGeom>
      </xdr:spPr>
    </xdr:pic>
    <xdr:clientData/>
  </xdr:twoCellAnchor>
  <xdr:twoCellAnchor>
    <xdr:from>
      <xdr:col>4</xdr:col>
      <xdr:colOff>95250</xdr:colOff>
      <xdr:row>15</xdr:row>
      <xdr:rowOff>0</xdr:rowOff>
    </xdr:from>
    <xdr:to>
      <xdr:col>4</xdr:col>
      <xdr:colOff>613834</xdr:colOff>
      <xdr:row>16</xdr:row>
      <xdr:rowOff>179916</xdr:rowOff>
    </xdr:to>
    <xdr:sp macro="" textlink="">
      <xdr:nvSpPr>
        <xdr:cNvPr id="4" name="Right Brace 3">
          <a:extLst>
            <a:ext uri="{FF2B5EF4-FFF2-40B4-BE49-F238E27FC236}">
              <a16:creationId xmlns:a16="http://schemas.microsoft.com/office/drawing/2014/main" id="{00000000-0008-0000-0B00-000004000000}"/>
            </a:ext>
          </a:extLst>
        </xdr:cNvPr>
        <xdr:cNvSpPr/>
      </xdr:nvSpPr>
      <xdr:spPr>
        <a:xfrm>
          <a:off x="3280833" y="3227917"/>
          <a:ext cx="518584" cy="37041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349251</xdr:colOff>
      <xdr:row>6</xdr:row>
      <xdr:rowOff>190500</xdr:rowOff>
    </xdr:from>
    <xdr:to>
      <xdr:col>0</xdr:col>
      <xdr:colOff>582083</xdr:colOff>
      <xdr:row>8</xdr:row>
      <xdr:rowOff>31750</xdr:rowOff>
    </xdr:to>
    <xdr:cxnSp macro="">
      <xdr:nvCxnSpPr>
        <xdr:cNvPr id="2" name="Straight Arrow Connector 1">
          <a:extLst>
            <a:ext uri="{FF2B5EF4-FFF2-40B4-BE49-F238E27FC236}">
              <a16:creationId xmlns:a16="http://schemas.microsoft.com/office/drawing/2014/main" id="{00000000-0008-0000-0C00-000002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14959" y="0"/>
          <a:ext cx="1637202" cy="85830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349251</xdr:colOff>
      <xdr:row>6</xdr:row>
      <xdr:rowOff>190500</xdr:rowOff>
    </xdr:from>
    <xdr:to>
      <xdr:col>0</xdr:col>
      <xdr:colOff>582083</xdr:colOff>
      <xdr:row>8</xdr:row>
      <xdr:rowOff>31750</xdr:rowOff>
    </xdr:to>
    <xdr:cxnSp macro="">
      <xdr:nvCxnSpPr>
        <xdr:cNvPr id="2" name="Straight Arrow Connector 1">
          <a:extLst>
            <a:ext uri="{FF2B5EF4-FFF2-40B4-BE49-F238E27FC236}">
              <a16:creationId xmlns:a16="http://schemas.microsoft.com/office/drawing/2014/main" id="{00000000-0008-0000-0D00-000002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14959" y="0"/>
          <a:ext cx="1637202" cy="85830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349251</xdr:colOff>
      <xdr:row>7</xdr:row>
      <xdr:rowOff>190500</xdr:rowOff>
    </xdr:from>
    <xdr:to>
      <xdr:col>0</xdr:col>
      <xdr:colOff>582083</xdr:colOff>
      <xdr:row>9</xdr:row>
      <xdr:rowOff>31750</xdr:rowOff>
    </xdr:to>
    <xdr:cxnSp macro="">
      <xdr:nvCxnSpPr>
        <xdr:cNvPr id="2" name="Straight Arrow Connector 1">
          <a:extLst>
            <a:ext uri="{FF2B5EF4-FFF2-40B4-BE49-F238E27FC236}">
              <a16:creationId xmlns:a16="http://schemas.microsoft.com/office/drawing/2014/main" id="{00000000-0008-0000-0E00-000002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43559" y="0"/>
          <a:ext cx="1637202" cy="85830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349251</xdr:colOff>
      <xdr:row>7</xdr:row>
      <xdr:rowOff>190500</xdr:rowOff>
    </xdr:from>
    <xdr:to>
      <xdr:col>0</xdr:col>
      <xdr:colOff>582083</xdr:colOff>
      <xdr:row>9</xdr:row>
      <xdr:rowOff>31750</xdr:rowOff>
    </xdr:to>
    <xdr:cxnSp macro="">
      <xdr:nvCxnSpPr>
        <xdr:cNvPr id="2" name="Straight Arrow Connector 1">
          <a:extLst>
            <a:ext uri="{FF2B5EF4-FFF2-40B4-BE49-F238E27FC236}">
              <a16:creationId xmlns:a16="http://schemas.microsoft.com/office/drawing/2014/main" id="{00000000-0008-0000-0F00-000002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43559" y="0"/>
          <a:ext cx="1637202" cy="858308"/>
        </a:xfrm>
        <a:prstGeom prst="rect">
          <a:avLst/>
        </a:prstGeom>
      </xdr:spPr>
    </xdr:pic>
    <xdr:clientData/>
  </xdr:twoCellAnchor>
  <xdr:twoCellAnchor>
    <xdr:from>
      <xdr:col>0</xdr:col>
      <xdr:colOff>243417</xdr:colOff>
      <xdr:row>7</xdr:row>
      <xdr:rowOff>196849</xdr:rowOff>
    </xdr:from>
    <xdr:to>
      <xdr:col>1</xdr:col>
      <xdr:colOff>243416</xdr:colOff>
      <xdr:row>12</xdr:row>
      <xdr:rowOff>31750</xdr:rowOff>
    </xdr:to>
    <xdr:cxnSp macro="">
      <xdr:nvCxnSpPr>
        <xdr:cNvPr id="4" name="Straight Arrow Connector 3">
          <a:extLst>
            <a:ext uri="{FF2B5EF4-FFF2-40B4-BE49-F238E27FC236}">
              <a16:creationId xmlns:a16="http://schemas.microsoft.com/office/drawing/2014/main" id="{00000000-0008-0000-0F00-000004000000}"/>
            </a:ext>
          </a:extLst>
        </xdr:cNvPr>
        <xdr:cNvCxnSpPr/>
      </xdr:nvCxnSpPr>
      <xdr:spPr>
        <a:xfrm flipH="1">
          <a:off x="243417" y="1869016"/>
          <a:ext cx="846666" cy="8085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349251</xdr:colOff>
      <xdr:row>7</xdr:row>
      <xdr:rowOff>190500</xdr:rowOff>
    </xdr:from>
    <xdr:to>
      <xdr:col>0</xdr:col>
      <xdr:colOff>582083</xdr:colOff>
      <xdr:row>9</xdr:row>
      <xdr:rowOff>31750</xdr:rowOff>
    </xdr:to>
    <xdr:cxnSp macro="">
      <xdr:nvCxnSpPr>
        <xdr:cNvPr id="2" name="Straight Arrow Connector 1">
          <a:extLst>
            <a:ext uri="{FF2B5EF4-FFF2-40B4-BE49-F238E27FC236}">
              <a16:creationId xmlns:a16="http://schemas.microsoft.com/office/drawing/2014/main" id="{00000000-0008-0000-1000-000002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43559" y="0"/>
          <a:ext cx="1637202" cy="858308"/>
        </a:xfrm>
        <a:prstGeom prst="rect">
          <a:avLst/>
        </a:prstGeom>
      </xdr:spPr>
    </xdr:pic>
    <xdr:clientData/>
  </xdr:twoCellAnchor>
  <xdr:twoCellAnchor>
    <xdr:from>
      <xdr:col>0</xdr:col>
      <xdr:colOff>243417</xdr:colOff>
      <xdr:row>7</xdr:row>
      <xdr:rowOff>196849</xdr:rowOff>
    </xdr:from>
    <xdr:to>
      <xdr:col>1</xdr:col>
      <xdr:colOff>243416</xdr:colOff>
      <xdr:row>12</xdr:row>
      <xdr:rowOff>31750</xdr:rowOff>
    </xdr:to>
    <xdr:cxnSp macro="">
      <xdr:nvCxnSpPr>
        <xdr:cNvPr id="4" name="Straight Arrow Connector 3">
          <a:extLst>
            <a:ext uri="{FF2B5EF4-FFF2-40B4-BE49-F238E27FC236}">
              <a16:creationId xmlns:a16="http://schemas.microsoft.com/office/drawing/2014/main" id="{00000000-0008-0000-1000-000004000000}"/>
            </a:ext>
          </a:extLst>
        </xdr:cNvPr>
        <xdr:cNvCxnSpPr/>
      </xdr:nvCxnSpPr>
      <xdr:spPr>
        <a:xfrm flipH="1">
          <a:off x="243417" y="1854199"/>
          <a:ext cx="847724" cy="80645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349251</xdr:colOff>
      <xdr:row>7</xdr:row>
      <xdr:rowOff>190500</xdr:rowOff>
    </xdr:from>
    <xdr:to>
      <xdr:col>0</xdr:col>
      <xdr:colOff>582083</xdr:colOff>
      <xdr:row>9</xdr:row>
      <xdr:rowOff>31750</xdr:rowOff>
    </xdr:to>
    <xdr:cxnSp macro="">
      <xdr:nvCxnSpPr>
        <xdr:cNvPr id="2" name="Straight Arrow Connector 1">
          <a:extLst>
            <a:ext uri="{FF2B5EF4-FFF2-40B4-BE49-F238E27FC236}">
              <a16:creationId xmlns:a16="http://schemas.microsoft.com/office/drawing/2014/main" id="{00000000-0008-0000-1100-000002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43559" y="0"/>
          <a:ext cx="1637202" cy="858308"/>
        </a:xfrm>
        <a:prstGeom prst="rect">
          <a:avLst/>
        </a:prstGeom>
      </xdr:spPr>
    </xdr:pic>
    <xdr:clientData/>
  </xdr:twoCellAnchor>
  <xdr:twoCellAnchor>
    <xdr:from>
      <xdr:col>0</xdr:col>
      <xdr:colOff>560917</xdr:colOff>
      <xdr:row>8</xdr:row>
      <xdr:rowOff>21167</xdr:rowOff>
    </xdr:from>
    <xdr:to>
      <xdr:col>2</xdr:col>
      <xdr:colOff>603250</xdr:colOff>
      <xdr:row>15</xdr:row>
      <xdr:rowOff>31750</xdr:rowOff>
    </xdr:to>
    <xdr:cxnSp macro="">
      <xdr:nvCxnSpPr>
        <xdr:cNvPr id="4" name="Straight Arrow Connector 3">
          <a:extLst>
            <a:ext uri="{FF2B5EF4-FFF2-40B4-BE49-F238E27FC236}">
              <a16:creationId xmlns:a16="http://schemas.microsoft.com/office/drawing/2014/main" id="{00000000-0008-0000-1100-000004000000}"/>
            </a:ext>
          </a:extLst>
        </xdr:cNvPr>
        <xdr:cNvCxnSpPr/>
      </xdr:nvCxnSpPr>
      <xdr:spPr>
        <a:xfrm flipH="1">
          <a:off x="560917" y="1894417"/>
          <a:ext cx="1735666" cy="13652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455084</xdr:colOff>
      <xdr:row>7</xdr:row>
      <xdr:rowOff>190500</xdr:rowOff>
    </xdr:from>
    <xdr:to>
      <xdr:col>1</xdr:col>
      <xdr:colOff>624416</xdr:colOff>
      <xdr:row>12</xdr:row>
      <xdr:rowOff>84667</xdr:rowOff>
    </xdr:to>
    <xdr:cxnSp macro="">
      <xdr:nvCxnSpPr>
        <xdr:cNvPr id="7" name="Straight Arrow Connector 6">
          <a:extLst>
            <a:ext uri="{FF2B5EF4-FFF2-40B4-BE49-F238E27FC236}">
              <a16:creationId xmlns:a16="http://schemas.microsoft.com/office/drawing/2014/main" id="{00000000-0008-0000-1100-000007000000}"/>
            </a:ext>
          </a:extLst>
        </xdr:cNvPr>
        <xdr:cNvCxnSpPr/>
      </xdr:nvCxnSpPr>
      <xdr:spPr>
        <a:xfrm flipH="1">
          <a:off x="455084" y="1862667"/>
          <a:ext cx="1015999" cy="8678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349251</xdr:colOff>
      <xdr:row>7</xdr:row>
      <xdr:rowOff>190500</xdr:rowOff>
    </xdr:from>
    <xdr:to>
      <xdr:col>0</xdr:col>
      <xdr:colOff>582083</xdr:colOff>
      <xdr:row>9</xdr:row>
      <xdr:rowOff>31750</xdr:rowOff>
    </xdr:to>
    <xdr:cxnSp macro="">
      <xdr:nvCxnSpPr>
        <xdr:cNvPr id="2" name="Straight Arrow Connector 1">
          <a:extLst>
            <a:ext uri="{FF2B5EF4-FFF2-40B4-BE49-F238E27FC236}">
              <a16:creationId xmlns:a16="http://schemas.microsoft.com/office/drawing/2014/main" id="{00000000-0008-0000-1200-000002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555587</xdr:colOff>
      <xdr:row>3</xdr:row>
      <xdr:rowOff>10583</xdr:rowOff>
    </xdr:to>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43559" y="0"/>
          <a:ext cx="1637202" cy="858308"/>
        </a:xfrm>
        <a:prstGeom prst="rect">
          <a:avLst/>
        </a:prstGeom>
      </xdr:spPr>
    </xdr:pic>
    <xdr:clientData/>
  </xdr:twoCellAnchor>
  <xdr:twoCellAnchor>
    <xdr:from>
      <xdr:col>0</xdr:col>
      <xdr:colOff>0</xdr:colOff>
      <xdr:row>8</xdr:row>
      <xdr:rowOff>42333</xdr:rowOff>
    </xdr:from>
    <xdr:to>
      <xdr:col>1</xdr:col>
      <xdr:colOff>539750</xdr:colOff>
      <xdr:row>15</xdr:row>
      <xdr:rowOff>0</xdr:rowOff>
    </xdr:to>
    <xdr:cxnSp macro="">
      <xdr:nvCxnSpPr>
        <xdr:cNvPr id="4" name="Straight Arrow Connector 3">
          <a:extLst>
            <a:ext uri="{FF2B5EF4-FFF2-40B4-BE49-F238E27FC236}">
              <a16:creationId xmlns:a16="http://schemas.microsoft.com/office/drawing/2014/main" id="{00000000-0008-0000-1200-000004000000}"/>
            </a:ext>
          </a:extLst>
        </xdr:cNvPr>
        <xdr:cNvCxnSpPr/>
      </xdr:nvCxnSpPr>
      <xdr:spPr>
        <a:xfrm flipH="1">
          <a:off x="0" y="1915583"/>
          <a:ext cx="1386417" cy="131233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xdr:colOff>
      <xdr:row>8</xdr:row>
      <xdr:rowOff>21167</xdr:rowOff>
    </xdr:from>
    <xdr:to>
      <xdr:col>1</xdr:col>
      <xdr:colOff>169333</xdr:colOff>
      <xdr:row>12</xdr:row>
      <xdr:rowOff>116417</xdr:rowOff>
    </xdr:to>
    <xdr:cxnSp macro="">
      <xdr:nvCxnSpPr>
        <xdr:cNvPr id="5" name="Straight Arrow Connector 4">
          <a:extLst>
            <a:ext uri="{FF2B5EF4-FFF2-40B4-BE49-F238E27FC236}">
              <a16:creationId xmlns:a16="http://schemas.microsoft.com/office/drawing/2014/main" id="{00000000-0008-0000-1200-000005000000}"/>
            </a:ext>
          </a:extLst>
        </xdr:cNvPr>
        <xdr:cNvCxnSpPr/>
      </xdr:nvCxnSpPr>
      <xdr:spPr>
        <a:xfrm flipH="1">
          <a:off x="1" y="1894417"/>
          <a:ext cx="1015999" cy="8678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592667</xdr:colOff>
      <xdr:row>7</xdr:row>
      <xdr:rowOff>169333</xdr:rowOff>
    </xdr:from>
    <xdr:to>
      <xdr:col>1</xdr:col>
      <xdr:colOff>762000</xdr:colOff>
      <xdr:row>12</xdr:row>
      <xdr:rowOff>31750</xdr:rowOff>
    </xdr:to>
    <xdr:cxnSp macro="">
      <xdr:nvCxnSpPr>
        <xdr:cNvPr id="2" name="Straight Arrow Connector 1">
          <a:extLst>
            <a:ext uri="{FF2B5EF4-FFF2-40B4-BE49-F238E27FC236}">
              <a16:creationId xmlns:a16="http://schemas.microsoft.com/office/drawing/2014/main" id="{00000000-0008-0000-0100-000002000000}"/>
            </a:ext>
          </a:extLst>
        </xdr:cNvPr>
        <xdr:cNvCxnSpPr/>
      </xdr:nvCxnSpPr>
      <xdr:spPr>
        <a:xfrm flipH="1">
          <a:off x="592667" y="1636183"/>
          <a:ext cx="836083" cy="8339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4359" y="0"/>
          <a:ext cx="1637202" cy="858308"/>
        </a:xfrm>
        <a:prstGeom prst="rect">
          <a:avLst/>
        </a:prstGeom>
      </xdr:spPr>
    </xdr:pic>
    <xdr:clientData/>
  </xdr:twoCellAnchor>
  <xdr:twoCellAnchor>
    <xdr:from>
      <xdr:col>0</xdr:col>
      <xdr:colOff>433918</xdr:colOff>
      <xdr:row>8</xdr:row>
      <xdr:rowOff>21167</xdr:rowOff>
    </xdr:from>
    <xdr:to>
      <xdr:col>1</xdr:col>
      <xdr:colOff>74083</xdr:colOff>
      <xdr:row>9</xdr:row>
      <xdr:rowOff>74083</xdr:rowOff>
    </xdr:to>
    <xdr:cxnSp macro="">
      <xdr:nvCxnSpPr>
        <xdr:cNvPr id="7" name="Straight Arrow Connector 6">
          <a:extLst>
            <a:ext uri="{FF2B5EF4-FFF2-40B4-BE49-F238E27FC236}">
              <a16:creationId xmlns:a16="http://schemas.microsoft.com/office/drawing/2014/main" id="{00000000-0008-0000-0100-000007000000}"/>
            </a:ext>
          </a:extLst>
        </xdr:cNvPr>
        <xdr:cNvCxnSpPr/>
      </xdr:nvCxnSpPr>
      <xdr:spPr>
        <a:xfrm flipH="1">
          <a:off x="433918" y="1703917"/>
          <a:ext cx="306915" cy="2434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349251</xdr:colOff>
      <xdr:row>7</xdr:row>
      <xdr:rowOff>31750</xdr:rowOff>
    </xdr:from>
    <xdr:to>
      <xdr:col>1</xdr:col>
      <xdr:colOff>201083</xdr:colOff>
      <xdr:row>8</xdr:row>
      <xdr:rowOff>31750</xdr:rowOff>
    </xdr:to>
    <xdr:cxnSp macro="">
      <xdr:nvCxnSpPr>
        <xdr:cNvPr id="2" name="Straight Arrow Connector 1">
          <a:extLst>
            <a:ext uri="{FF2B5EF4-FFF2-40B4-BE49-F238E27FC236}">
              <a16:creationId xmlns:a16="http://schemas.microsoft.com/office/drawing/2014/main" id="{00000000-0008-0000-1300-000002000000}"/>
            </a:ext>
          </a:extLst>
        </xdr:cNvPr>
        <xdr:cNvCxnSpPr/>
      </xdr:nvCxnSpPr>
      <xdr:spPr>
        <a:xfrm flipH="1">
          <a:off x="349251" y="1714500"/>
          <a:ext cx="698499" cy="190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76934" y="0"/>
          <a:ext cx="1637203" cy="85830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349251</xdr:colOff>
      <xdr:row>6</xdr:row>
      <xdr:rowOff>190500</xdr:rowOff>
    </xdr:from>
    <xdr:to>
      <xdr:col>0</xdr:col>
      <xdr:colOff>582083</xdr:colOff>
      <xdr:row>8</xdr:row>
      <xdr:rowOff>31750</xdr:rowOff>
    </xdr:to>
    <xdr:cxnSp macro="">
      <xdr:nvCxnSpPr>
        <xdr:cNvPr id="2" name="Straight Arrow Connector 1">
          <a:extLst>
            <a:ext uri="{FF2B5EF4-FFF2-40B4-BE49-F238E27FC236}">
              <a16:creationId xmlns:a16="http://schemas.microsoft.com/office/drawing/2014/main" id="{00000000-0008-0000-1400-000002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38709" y="0"/>
          <a:ext cx="1637202" cy="85830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275167</xdr:colOff>
      <xdr:row>7</xdr:row>
      <xdr:rowOff>31750</xdr:rowOff>
    </xdr:from>
    <xdr:to>
      <xdr:col>0</xdr:col>
      <xdr:colOff>507999</xdr:colOff>
      <xdr:row>8</xdr:row>
      <xdr:rowOff>74083</xdr:rowOff>
    </xdr:to>
    <xdr:cxnSp macro="">
      <xdr:nvCxnSpPr>
        <xdr:cNvPr id="2" name="Straight Arrow Connector 1">
          <a:extLst>
            <a:ext uri="{FF2B5EF4-FFF2-40B4-BE49-F238E27FC236}">
              <a16:creationId xmlns:a16="http://schemas.microsoft.com/office/drawing/2014/main" id="{00000000-0008-0000-1500-000002000000}"/>
            </a:ext>
          </a:extLst>
        </xdr:cNvPr>
        <xdr:cNvCxnSpPr/>
      </xdr:nvCxnSpPr>
      <xdr:spPr>
        <a:xfrm flipH="1">
          <a:off x="275167" y="1714500"/>
          <a:ext cx="232832" cy="2328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38709" y="0"/>
          <a:ext cx="1637202" cy="85830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349251</xdr:colOff>
      <xdr:row>7</xdr:row>
      <xdr:rowOff>190500</xdr:rowOff>
    </xdr:from>
    <xdr:to>
      <xdr:col>0</xdr:col>
      <xdr:colOff>582083</xdr:colOff>
      <xdr:row>9</xdr:row>
      <xdr:rowOff>31750</xdr:rowOff>
    </xdr:to>
    <xdr:cxnSp macro="">
      <xdr:nvCxnSpPr>
        <xdr:cNvPr id="2" name="Straight Arrow Connector 1">
          <a:extLst>
            <a:ext uri="{FF2B5EF4-FFF2-40B4-BE49-F238E27FC236}">
              <a16:creationId xmlns:a16="http://schemas.microsoft.com/office/drawing/2014/main" id="{00000000-0008-0000-1600-000002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1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5484" y="0"/>
          <a:ext cx="1637202" cy="858308"/>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349251</xdr:colOff>
      <xdr:row>7</xdr:row>
      <xdr:rowOff>190500</xdr:rowOff>
    </xdr:from>
    <xdr:to>
      <xdr:col>0</xdr:col>
      <xdr:colOff>804333</xdr:colOff>
      <xdr:row>9</xdr:row>
      <xdr:rowOff>31750</xdr:rowOff>
    </xdr:to>
    <xdr:cxnSp macro="">
      <xdr:nvCxnSpPr>
        <xdr:cNvPr id="2" name="Straight Arrow Connector 1">
          <a:extLst>
            <a:ext uri="{FF2B5EF4-FFF2-40B4-BE49-F238E27FC236}">
              <a16:creationId xmlns:a16="http://schemas.microsoft.com/office/drawing/2014/main" id="{00000000-0008-0000-1700-000002000000}"/>
            </a:ext>
          </a:extLst>
        </xdr:cNvPr>
        <xdr:cNvCxnSpPr/>
      </xdr:nvCxnSpPr>
      <xdr:spPr>
        <a:xfrm flipH="1">
          <a:off x="349251" y="1862667"/>
          <a:ext cx="455082" cy="2328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5484" y="0"/>
          <a:ext cx="1637202" cy="85830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349251</xdr:colOff>
      <xdr:row>7</xdr:row>
      <xdr:rowOff>190500</xdr:rowOff>
    </xdr:from>
    <xdr:to>
      <xdr:col>0</xdr:col>
      <xdr:colOff>582083</xdr:colOff>
      <xdr:row>9</xdr:row>
      <xdr:rowOff>31750</xdr:rowOff>
    </xdr:to>
    <xdr:cxnSp macro="">
      <xdr:nvCxnSpPr>
        <xdr:cNvPr id="2" name="Straight Arrow Connector 1">
          <a:extLst>
            <a:ext uri="{FF2B5EF4-FFF2-40B4-BE49-F238E27FC236}">
              <a16:creationId xmlns:a16="http://schemas.microsoft.com/office/drawing/2014/main" id="{00000000-0008-0000-1800-000002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18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5484" y="0"/>
          <a:ext cx="1637202" cy="85830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349251</xdr:colOff>
      <xdr:row>8</xdr:row>
      <xdr:rowOff>21167</xdr:rowOff>
    </xdr:from>
    <xdr:to>
      <xdr:col>1</xdr:col>
      <xdr:colOff>211667</xdr:colOff>
      <xdr:row>9</xdr:row>
      <xdr:rowOff>31750</xdr:rowOff>
    </xdr:to>
    <xdr:cxnSp macro="">
      <xdr:nvCxnSpPr>
        <xdr:cNvPr id="2" name="Straight Arrow Connector 1">
          <a:extLst>
            <a:ext uri="{FF2B5EF4-FFF2-40B4-BE49-F238E27FC236}">
              <a16:creationId xmlns:a16="http://schemas.microsoft.com/office/drawing/2014/main" id="{00000000-0008-0000-1900-000002000000}"/>
            </a:ext>
          </a:extLst>
        </xdr:cNvPr>
        <xdr:cNvCxnSpPr/>
      </xdr:nvCxnSpPr>
      <xdr:spPr>
        <a:xfrm flipH="1">
          <a:off x="349251" y="1894417"/>
          <a:ext cx="719666" cy="201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5484" y="0"/>
          <a:ext cx="1637202" cy="858308"/>
        </a:xfrm>
        <a:prstGeom prst="rect">
          <a:avLst/>
        </a:prstGeom>
      </xdr:spPr>
    </xdr:pic>
    <xdr:clientData/>
  </xdr:twoCellAnchor>
  <xdr:twoCellAnchor>
    <xdr:from>
      <xdr:col>0</xdr:col>
      <xdr:colOff>433917</xdr:colOff>
      <xdr:row>8</xdr:row>
      <xdr:rowOff>0</xdr:rowOff>
    </xdr:from>
    <xdr:to>
      <xdr:col>2</xdr:col>
      <xdr:colOff>476250</xdr:colOff>
      <xdr:row>12</xdr:row>
      <xdr:rowOff>10584</xdr:rowOff>
    </xdr:to>
    <xdr:cxnSp macro="">
      <xdr:nvCxnSpPr>
        <xdr:cNvPr id="5" name="Straight Arrow Connector 4">
          <a:extLst>
            <a:ext uri="{FF2B5EF4-FFF2-40B4-BE49-F238E27FC236}">
              <a16:creationId xmlns:a16="http://schemas.microsoft.com/office/drawing/2014/main" id="{4DAFDA07-D000-47A7-B309-41F7FE3AB5EC}"/>
            </a:ext>
          </a:extLst>
        </xdr:cNvPr>
        <xdr:cNvCxnSpPr/>
      </xdr:nvCxnSpPr>
      <xdr:spPr>
        <a:xfrm flipH="1">
          <a:off x="433917" y="1873250"/>
          <a:ext cx="1746250" cy="7831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349251</xdr:colOff>
      <xdr:row>7</xdr:row>
      <xdr:rowOff>31750</xdr:rowOff>
    </xdr:from>
    <xdr:to>
      <xdr:col>0</xdr:col>
      <xdr:colOff>730250</xdr:colOff>
      <xdr:row>8</xdr:row>
      <xdr:rowOff>31750</xdr:rowOff>
    </xdr:to>
    <xdr:cxnSp macro="">
      <xdr:nvCxnSpPr>
        <xdr:cNvPr id="2" name="Straight Arrow Connector 1">
          <a:extLst>
            <a:ext uri="{FF2B5EF4-FFF2-40B4-BE49-F238E27FC236}">
              <a16:creationId xmlns:a16="http://schemas.microsoft.com/office/drawing/2014/main" id="{00000000-0008-0000-1A00-000002000000}"/>
            </a:ext>
          </a:extLst>
        </xdr:cNvPr>
        <xdr:cNvCxnSpPr/>
      </xdr:nvCxnSpPr>
      <xdr:spPr>
        <a:xfrm flipH="1">
          <a:off x="349251" y="1714500"/>
          <a:ext cx="380999" cy="190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1A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5484" y="0"/>
          <a:ext cx="1637202" cy="85830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349251</xdr:colOff>
      <xdr:row>6</xdr:row>
      <xdr:rowOff>190500</xdr:rowOff>
    </xdr:from>
    <xdr:to>
      <xdr:col>0</xdr:col>
      <xdr:colOff>582083</xdr:colOff>
      <xdr:row>8</xdr:row>
      <xdr:rowOff>31750</xdr:rowOff>
    </xdr:to>
    <xdr:cxnSp macro="">
      <xdr:nvCxnSpPr>
        <xdr:cNvPr id="2" name="Straight Arrow Connector 1">
          <a:extLst>
            <a:ext uri="{FF2B5EF4-FFF2-40B4-BE49-F238E27FC236}">
              <a16:creationId xmlns:a16="http://schemas.microsoft.com/office/drawing/2014/main" id="{00000000-0008-0000-1B00-000002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1B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5484" y="0"/>
          <a:ext cx="1637202" cy="85830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349251</xdr:colOff>
      <xdr:row>6</xdr:row>
      <xdr:rowOff>179916</xdr:rowOff>
    </xdr:from>
    <xdr:to>
      <xdr:col>1</xdr:col>
      <xdr:colOff>412750</xdr:colOff>
      <xdr:row>8</xdr:row>
      <xdr:rowOff>31750</xdr:rowOff>
    </xdr:to>
    <xdr:cxnSp macro="">
      <xdr:nvCxnSpPr>
        <xdr:cNvPr id="2" name="Straight Arrow Connector 1">
          <a:extLst>
            <a:ext uri="{FF2B5EF4-FFF2-40B4-BE49-F238E27FC236}">
              <a16:creationId xmlns:a16="http://schemas.microsoft.com/office/drawing/2014/main" id="{00000000-0008-0000-1C00-000002000000}"/>
            </a:ext>
          </a:extLst>
        </xdr:cNvPr>
        <xdr:cNvCxnSpPr/>
      </xdr:nvCxnSpPr>
      <xdr:spPr>
        <a:xfrm flipH="1">
          <a:off x="349251" y="1646766"/>
          <a:ext cx="920749" cy="24235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1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402167</xdr:colOff>
      <xdr:row>6</xdr:row>
      <xdr:rowOff>190500</xdr:rowOff>
    </xdr:from>
    <xdr:to>
      <xdr:col>2</xdr:col>
      <xdr:colOff>359833</xdr:colOff>
      <xdr:row>11</xdr:row>
      <xdr:rowOff>31750</xdr:rowOff>
    </xdr:to>
    <xdr:cxnSp macro="">
      <xdr:nvCxnSpPr>
        <xdr:cNvPr id="4" name="Straight Arrow Connector 3">
          <a:extLst>
            <a:ext uri="{FF2B5EF4-FFF2-40B4-BE49-F238E27FC236}">
              <a16:creationId xmlns:a16="http://schemas.microsoft.com/office/drawing/2014/main" id="{00000000-0008-0000-1C00-000004000000}"/>
            </a:ext>
          </a:extLst>
        </xdr:cNvPr>
        <xdr:cNvCxnSpPr/>
      </xdr:nvCxnSpPr>
      <xdr:spPr>
        <a:xfrm flipH="1">
          <a:off x="402167" y="1672167"/>
          <a:ext cx="1661583" cy="8149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762000</xdr:colOff>
      <xdr:row>6</xdr:row>
      <xdr:rowOff>179916</xdr:rowOff>
    </xdr:from>
    <xdr:to>
      <xdr:col>3</xdr:col>
      <xdr:colOff>582084</xdr:colOff>
      <xdr:row>15</xdr:row>
      <xdr:rowOff>21166</xdr:rowOff>
    </xdr:to>
    <xdr:cxnSp macro="">
      <xdr:nvCxnSpPr>
        <xdr:cNvPr id="6" name="Straight Arrow Connector 5">
          <a:extLst>
            <a:ext uri="{FF2B5EF4-FFF2-40B4-BE49-F238E27FC236}">
              <a16:creationId xmlns:a16="http://schemas.microsoft.com/office/drawing/2014/main" id="{00000000-0008-0000-1C00-000006000000}"/>
            </a:ext>
          </a:extLst>
        </xdr:cNvPr>
        <xdr:cNvCxnSpPr/>
      </xdr:nvCxnSpPr>
      <xdr:spPr>
        <a:xfrm flipH="1">
          <a:off x="762000" y="1661583"/>
          <a:ext cx="2413001" cy="1397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804333</xdr:colOff>
      <xdr:row>7</xdr:row>
      <xdr:rowOff>52917</xdr:rowOff>
    </xdr:from>
    <xdr:to>
      <xdr:col>4</xdr:col>
      <xdr:colOff>698502</xdr:colOff>
      <xdr:row>18</xdr:row>
      <xdr:rowOff>31750</xdr:rowOff>
    </xdr:to>
    <xdr:cxnSp macro="">
      <xdr:nvCxnSpPr>
        <xdr:cNvPr id="8" name="Straight Arrow Connector 7">
          <a:extLst>
            <a:ext uri="{FF2B5EF4-FFF2-40B4-BE49-F238E27FC236}">
              <a16:creationId xmlns:a16="http://schemas.microsoft.com/office/drawing/2014/main" id="{00000000-0008-0000-1C00-000008000000}"/>
            </a:ext>
          </a:extLst>
        </xdr:cNvPr>
        <xdr:cNvCxnSpPr/>
      </xdr:nvCxnSpPr>
      <xdr:spPr>
        <a:xfrm flipH="1">
          <a:off x="804333" y="1735667"/>
          <a:ext cx="3492502" cy="19155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730250</xdr:colOff>
      <xdr:row>57</xdr:row>
      <xdr:rowOff>148167</xdr:rowOff>
    </xdr:from>
    <xdr:to>
      <xdr:col>2</xdr:col>
      <xdr:colOff>497416</xdr:colOff>
      <xdr:row>61</xdr:row>
      <xdr:rowOff>74083</xdr:rowOff>
    </xdr:to>
    <xdr:cxnSp macro="">
      <xdr:nvCxnSpPr>
        <xdr:cNvPr id="11" name="Straight Arrow Connector 10">
          <a:extLst>
            <a:ext uri="{FF2B5EF4-FFF2-40B4-BE49-F238E27FC236}">
              <a16:creationId xmlns:a16="http://schemas.microsoft.com/office/drawing/2014/main" id="{00000000-0008-0000-1C00-00000B000000}"/>
            </a:ext>
          </a:extLst>
        </xdr:cNvPr>
        <xdr:cNvCxnSpPr/>
      </xdr:nvCxnSpPr>
      <xdr:spPr>
        <a:xfrm>
          <a:off x="730250" y="11419417"/>
          <a:ext cx="1471083" cy="68791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518583</xdr:colOff>
      <xdr:row>58</xdr:row>
      <xdr:rowOff>0</xdr:rowOff>
    </xdr:from>
    <xdr:to>
      <xdr:col>2</xdr:col>
      <xdr:colOff>529166</xdr:colOff>
      <xdr:row>61</xdr:row>
      <xdr:rowOff>95250</xdr:rowOff>
    </xdr:to>
    <xdr:cxnSp macro="">
      <xdr:nvCxnSpPr>
        <xdr:cNvPr id="12" name="Straight Arrow Connector 11">
          <a:extLst>
            <a:ext uri="{FF2B5EF4-FFF2-40B4-BE49-F238E27FC236}">
              <a16:creationId xmlns:a16="http://schemas.microsoft.com/office/drawing/2014/main" id="{00000000-0008-0000-1C00-00000C000000}"/>
            </a:ext>
          </a:extLst>
        </xdr:cNvPr>
        <xdr:cNvCxnSpPr/>
      </xdr:nvCxnSpPr>
      <xdr:spPr>
        <a:xfrm flipH="1">
          <a:off x="2222500" y="11461750"/>
          <a:ext cx="10583" cy="6667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518584</xdr:colOff>
      <xdr:row>57</xdr:row>
      <xdr:rowOff>169333</xdr:rowOff>
    </xdr:from>
    <xdr:to>
      <xdr:col>3</xdr:col>
      <xdr:colOff>508000</xdr:colOff>
      <xdr:row>61</xdr:row>
      <xdr:rowOff>116417</xdr:rowOff>
    </xdr:to>
    <xdr:cxnSp macro="">
      <xdr:nvCxnSpPr>
        <xdr:cNvPr id="15" name="Straight Arrow Connector 14">
          <a:extLst>
            <a:ext uri="{FF2B5EF4-FFF2-40B4-BE49-F238E27FC236}">
              <a16:creationId xmlns:a16="http://schemas.microsoft.com/office/drawing/2014/main" id="{00000000-0008-0000-1C00-00000F000000}"/>
            </a:ext>
          </a:extLst>
        </xdr:cNvPr>
        <xdr:cNvCxnSpPr/>
      </xdr:nvCxnSpPr>
      <xdr:spPr>
        <a:xfrm flipH="1">
          <a:off x="2222501" y="11440583"/>
          <a:ext cx="878416" cy="70908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592667</xdr:colOff>
      <xdr:row>6</xdr:row>
      <xdr:rowOff>169333</xdr:rowOff>
    </xdr:from>
    <xdr:to>
      <xdr:col>1</xdr:col>
      <xdr:colOff>762000</xdr:colOff>
      <xdr:row>12</xdr:row>
      <xdr:rowOff>31750</xdr:rowOff>
    </xdr:to>
    <xdr:cxnSp macro="">
      <xdr:nvCxnSpPr>
        <xdr:cNvPr id="2" name="Straight Arrow Connector 1">
          <a:extLst>
            <a:ext uri="{FF2B5EF4-FFF2-40B4-BE49-F238E27FC236}">
              <a16:creationId xmlns:a16="http://schemas.microsoft.com/office/drawing/2014/main" id="{00000000-0008-0000-0200-000002000000}"/>
            </a:ext>
          </a:extLst>
        </xdr:cNvPr>
        <xdr:cNvCxnSpPr/>
      </xdr:nvCxnSpPr>
      <xdr:spPr>
        <a:xfrm flipH="1">
          <a:off x="592667" y="1636183"/>
          <a:ext cx="836083" cy="10244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31751</xdr:colOff>
      <xdr:row>7</xdr:row>
      <xdr:rowOff>0</xdr:rowOff>
    </xdr:from>
    <xdr:to>
      <xdr:col>6</xdr:col>
      <xdr:colOff>349250</xdr:colOff>
      <xdr:row>15</xdr:row>
      <xdr:rowOff>52916</xdr:rowOff>
    </xdr:to>
    <xdr:cxnSp macro="">
      <xdr:nvCxnSpPr>
        <xdr:cNvPr id="3" name="Straight Arrow Connector 2">
          <a:extLst>
            <a:ext uri="{FF2B5EF4-FFF2-40B4-BE49-F238E27FC236}">
              <a16:creationId xmlns:a16="http://schemas.microsoft.com/office/drawing/2014/main" id="{00000000-0008-0000-0200-000003000000}"/>
            </a:ext>
          </a:extLst>
        </xdr:cNvPr>
        <xdr:cNvCxnSpPr/>
      </xdr:nvCxnSpPr>
      <xdr:spPr>
        <a:xfrm flipH="1">
          <a:off x="698501" y="1682750"/>
          <a:ext cx="3608916" cy="1598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24384" y="0"/>
          <a:ext cx="1637203" cy="858308"/>
        </a:xfrm>
        <a:prstGeom prst="rect">
          <a:avLst/>
        </a:prstGeom>
      </xdr:spPr>
    </xdr:pic>
    <xdr:clientData/>
  </xdr:twoCellAnchor>
  <xdr:twoCellAnchor>
    <xdr:from>
      <xdr:col>0</xdr:col>
      <xdr:colOff>603250</xdr:colOff>
      <xdr:row>7</xdr:row>
      <xdr:rowOff>0</xdr:rowOff>
    </xdr:from>
    <xdr:to>
      <xdr:col>3</xdr:col>
      <xdr:colOff>0</xdr:colOff>
      <xdr:row>18</xdr:row>
      <xdr:rowOff>42333</xdr:rowOff>
    </xdr:to>
    <xdr:cxnSp macro="">
      <xdr:nvCxnSpPr>
        <xdr:cNvPr id="6" name="Straight Arrow Connector 5">
          <a:extLst>
            <a:ext uri="{FF2B5EF4-FFF2-40B4-BE49-F238E27FC236}">
              <a16:creationId xmlns:a16="http://schemas.microsoft.com/office/drawing/2014/main" id="{00000000-0008-0000-0200-000006000000}"/>
            </a:ext>
          </a:extLst>
        </xdr:cNvPr>
        <xdr:cNvCxnSpPr/>
      </xdr:nvCxnSpPr>
      <xdr:spPr>
        <a:xfrm flipH="1">
          <a:off x="603250" y="1682750"/>
          <a:ext cx="1513417" cy="21695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825500</xdr:colOff>
      <xdr:row>7</xdr:row>
      <xdr:rowOff>179916</xdr:rowOff>
    </xdr:from>
    <xdr:to>
      <xdr:col>1</xdr:col>
      <xdr:colOff>412751</xdr:colOff>
      <xdr:row>9</xdr:row>
      <xdr:rowOff>31750</xdr:rowOff>
    </xdr:to>
    <xdr:cxnSp macro="">
      <xdr:nvCxnSpPr>
        <xdr:cNvPr id="2" name="Straight Arrow Connector 1">
          <a:extLst>
            <a:ext uri="{FF2B5EF4-FFF2-40B4-BE49-F238E27FC236}">
              <a16:creationId xmlns:a16="http://schemas.microsoft.com/office/drawing/2014/main" id="{00000000-0008-0000-1D00-000002000000}"/>
            </a:ext>
          </a:extLst>
        </xdr:cNvPr>
        <xdr:cNvCxnSpPr/>
      </xdr:nvCxnSpPr>
      <xdr:spPr>
        <a:xfrm flipH="1">
          <a:off x="825500" y="1852083"/>
          <a:ext cx="444501" cy="24341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1D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86434" y="0"/>
          <a:ext cx="1637203" cy="858308"/>
        </a:xfrm>
        <a:prstGeom prst="rect">
          <a:avLst/>
        </a:prstGeom>
      </xdr:spPr>
    </xdr:pic>
    <xdr:clientData/>
  </xdr:twoCellAnchor>
  <xdr:twoCellAnchor>
    <xdr:from>
      <xdr:col>0</xdr:col>
      <xdr:colOff>751417</xdr:colOff>
      <xdr:row>7</xdr:row>
      <xdr:rowOff>190500</xdr:rowOff>
    </xdr:from>
    <xdr:to>
      <xdr:col>2</xdr:col>
      <xdr:colOff>359834</xdr:colOff>
      <xdr:row>12</xdr:row>
      <xdr:rowOff>42334</xdr:rowOff>
    </xdr:to>
    <xdr:cxnSp macro="">
      <xdr:nvCxnSpPr>
        <xdr:cNvPr id="4" name="Straight Arrow Connector 3">
          <a:extLst>
            <a:ext uri="{FF2B5EF4-FFF2-40B4-BE49-F238E27FC236}">
              <a16:creationId xmlns:a16="http://schemas.microsoft.com/office/drawing/2014/main" id="{00000000-0008-0000-1D00-000004000000}"/>
            </a:ext>
          </a:extLst>
        </xdr:cNvPr>
        <xdr:cNvCxnSpPr/>
      </xdr:nvCxnSpPr>
      <xdr:spPr>
        <a:xfrm flipH="1">
          <a:off x="751417" y="1862667"/>
          <a:ext cx="1312334" cy="825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84667</xdr:colOff>
      <xdr:row>7</xdr:row>
      <xdr:rowOff>179916</xdr:rowOff>
    </xdr:from>
    <xdr:to>
      <xdr:col>3</xdr:col>
      <xdr:colOff>582085</xdr:colOff>
      <xdr:row>15</xdr:row>
      <xdr:rowOff>169333</xdr:rowOff>
    </xdr:to>
    <xdr:cxnSp macro="">
      <xdr:nvCxnSpPr>
        <xdr:cNvPr id="5" name="Straight Arrow Connector 4">
          <a:extLst>
            <a:ext uri="{FF2B5EF4-FFF2-40B4-BE49-F238E27FC236}">
              <a16:creationId xmlns:a16="http://schemas.microsoft.com/office/drawing/2014/main" id="{00000000-0008-0000-1D00-000005000000}"/>
            </a:ext>
          </a:extLst>
        </xdr:cNvPr>
        <xdr:cNvCxnSpPr/>
      </xdr:nvCxnSpPr>
      <xdr:spPr>
        <a:xfrm flipH="1">
          <a:off x="941917" y="1852083"/>
          <a:ext cx="2233085" cy="15451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105833</xdr:colOff>
      <xdr:row>8</xdr:row>
      <xdr:rowOff>52917</xdr:rowOff>
    </xdr:from>
    <xdr:to>
      <xdr:col>4</xdr:col>
      <xdr:colOff>698502</xdr:colOff>
      <xdr:row>19</xdr:row>
      <xdr:rowOff>42333</xdr:rowOff>
    </xdr:to>
    <xdr:cxnSp macro="">
      <xdr:nvCxnSpPr>
        <xdr:cNvPr id="6" name="Straight Arrow Connector 5">
          <a:extLst>
            <a:ext uri="{FF2B5EF4-FFF2-40B4-BE49-F238E27FC236}">
              <a16:creationId xmlns:a16="http://schemas.microsoft.com/office/drawing/2014/main" id="{00000000-0008-0000-1D00-000006000000}"/>
            </a:ext>
          </a:extLst>
        </xdr:cNvPr>
        <xdr:cNvCxnSpPr/>
      </xdr:nvCxnSpPr>
      <xdr:spPr>
        <a:xfrm flipH="1">
          <a:off x="963083" y="1926167"/>
          <a:ext cx="3333752" cy="21166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349252</xdr:colOff>
      <xdr:row>6</xdr:row>
      <xdr:rowOff>190500</xdr:rowOff>
    </xdr:from>
    <xdr:to>
      <xdr:col>0</xdr:col>
      <xdr:colOff>836083</xdr:colOff>
      <xdr:row>8</xdr:row>
      <xdr:rowOff>31750</xdr:rowOff>
    </xdr:to>
    <xdr:cxnSp macro="">
      <xdr:nvCxnSpPr>
        <xdr:cNvPr id="2" name="Straight Arrow Connector 1">
          <a:extLst>
            <a:ext uri="{FF2B5EF4-FFF2-40B4-BE49-F238E27FC236}">
              <a16:creationId xmlns:a16="http://schemas.microsoft.com/office/drawing/2014/main" id="{00000000-0008-0000-1E00-000002000000}"/>
            </a:ext>
          </a:extLst>
        </xdr:cNvPr>
        <xdr:cNvCxnSpPr/>
      </xdr:nvCxnSpPr>
      <xdr:spPr>
        <a:xfrm flipH="1">
          <a:off x="349252" y="1657350"/>
          <a:ext cx="486831"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1E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0</xdr:col>
      <xdr:colOff>349251</xdr:colOff>
      <xdr:row>6</xdr:row>
      <xdr:rowOff>179916</xdr:rowOff>
    </xdr:from>
    <xdr:to>
      <xdr:col>1</xdr:col>
      <xdr:colOff>412750</xdr:colOff>
      <xdr:row>8</xdr:row>
      <xdr:rowOff>31750</xdr:rowOff>
    </xdr:to>
    <xdr:cxnSp macro="">
      <xdr:nvCxnSpPr>
        <xdr:cNvPr id="2" name="Straight Arrow Connector 1">
          <a:extLst>
            <a:ext uri="{FF2B5EF4-FFF2-40B4-BE49-F238E27FC236}">
              <a16:creationId xmlns:a16="http://schemas.microsoft.com/office/drawing/2014/main" id="{00000000-0008-0000-1F00-000002000000}"/>
            </a:ext>
          </a:extLst>
        </xdr:cNvPr>
        <xdr:cNvCxnSpPr/>
      </xdr:nvCxnSpPr>
      <xdr:spPr>
        <a:xfrm flipH="1">
          <a:off x="349251" y="1646766"/>
          <a:ext cx="920749" cy="24235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1F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86434" y="0"/>
          <a:ext cx="1637203" cy="858308"/>
        </a:xfrm>
        <a:prstGeom prst="rect">
          <a:avLst/>
        </a:prstGeom>
      </xdr:spPr>
    </xdr:pic>
    <xdr:clientData/>
  </xdr:twoCellAnchor>
  <xdr:twoCellAnchor>
    <xdr:from>
      <xdr:col>0</xdr:col>
      <xdr:colOff>402167</xdr:colOff>
      <xdr:row>6</xdr:row>
      <xdr:rowOff>190500</xdr:rowOff>
    </xdr:from>
    <xdr:to>
      <xdr:col>2</xdr:col>
      <xdr:colOff>359833</xdr:colOff>
      <xdr:row>11</xdr:row>
      <xdr:rowOff>31750</xdr:rowOff>
    </xdr:to>
    <xdr:cxnSp macro="">
      <xdr:nvCxnSpPr>
        <xdr:cNvPr id="4" name="Straight Arrow Connector 3">
          <a:extLst>
            <a:ext uri="{FF2B5EF4-FFF2-40B4-BE49-F238E27FC236}">
              <a16:creationId xmlns:a16="http://schemas.microsoft.com/office/drawing/2014/main" id="{00000000-0008-0000-1F00-000004000000}"/>
            </a:ext>
          </a:extLst>
        </xdr:cNvPr>
        <xdr:cNvCxnSpPr/>
      </xdr:nvCxnSpPr>
      <xdr:spPr>
        <a:xfrm flipH="1">
          <a:off x="402167" y="1657350"/>
          <a:ext cx="1662641" cy="812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762000</xdr:colOff>
      <xdr:row>6</xdr:row>
      <xdr:rowOff>179916</xdr:rowOff>
    </xdr:from>
    <xdr:to>
      <xdr:col>3</xdr:col>
      <xdr:colOff>582084</xdr:colOff>
      <xdr:row>14</xdr:row>
      <xdr:rowOff>0</xdr:rowOff>
    </xdr:to>
    <xdr:cxnSp macro="">
      <xdr:nvCxnSpPr>
        <xdr:cNvPr id="5" name="Straight Arrow Connector 4">
          <a:extLst>
            <a:ext uri="{FF2B5EF4-FFF2-40B4-BE49-F238E27FC236}">
              <a16:creationId xmlns:a16="http://schemas.microsoft.com/office/drawing/2014/main" id="{00000000-0008-0000-1F00-000005000000}"/>
            </a:ext>
          </a:extLst>
        </xdr:cNvPr>
        <xdr:cNvCxnSpPr/>
      </xdr:nvCxnSpPr>
      <xdr:spPr>
        <a:xfrm flipH="1">
          <a:off x="762000" y="1646766"/>
          <a:ext cx="2410884" cy="15843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730250</xdr:colOff>
      <xdr:row>54</xdr:row>
      <xdr:rowOff>148167</xdr:rowOff>
    </xdr:from>
    <xdr:to>
      <xdr:col>2</xdr:col>
      <xdr:colOff>497416</xdr:colOff>
      <xdr:row>58</xdr:row>
      <xdr:rowOff>74083</xdr:rowOff>
    </xdr:to>
    <xdr:cxnSp macro="">
      <xdr:nvCxnSpPr>
        <xdr:cNvPr id="7" name="Straight Arrow Connector 6">
          <a:extLst>
            <a:ext uri="{FF2B5EF4-FFF2-40B4-BE49-F238E27FC236}">
              <a16:creationId xmlns:a16="http://schemas.microsoft.com/office/drawing/2014/main" id="{00000000-0008-0000-1F00-000007000000}"/>
            </a:ext>
          </a:extLst>
        </xdr:cNvPr>
        <xdr:cNvCxnSpPr/>
      </xdr:nvCxnSpPr>
      <xdr:spPr>
        <a:xfrm>
          <a:off x="730250" y="11397192"/>
          <a:ext cx="1472141" cy="68791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518583</xdr:colOff>
      <xdr:row>55</xdr:row>
      <xdr:rowOff>0</xdr:rowOff>
    </xdr:from>
    <xdr:to>
      <xdr:col>2</xdr:col>
      <xdr:colOff>529166</xdr:colOff>
      <xdr:row>58</xdr:row>
      <xdr:rowOff>95250</xdr:rowOff>
    </xdr:to>
    <xdr:cxnSp macro="">
      <xdr:nvCxnSpPr>
        <xdr:cNvPr id="8" name="Straight Arrow Connector 7">
          <a:extLst>
            <a:ext uri="{FF2B5EF4-FFF2-40B4-BE49-F238E27FC236}">
              <a16:creationId xmlns:a16="http://schemas.microsoft.com/office/drawing/2014/main" id="{00000000-0008-0000-1F00-000008000000}"/>
            </a:ext>
          </a:extLst>
        </xdr:cNvPr>
        <xdr:cNvCxnSpPr/>
      </xdr:nvCxnSpPr>
      <xdr:spPr>
        <a:xfrm flipH="1">
          <a:off x="2223558" y="11439525"/>
          <a:ext cx="10583" cy="6667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518584</xdr:colOff>
      <xdr:row>54</xdr:row>
      <xdr:rowOff>169333</xdr:rowOff>
    </xdr:from>
    <xdr:to>
      <xdr:col>3</xdr:col>
      <xdr:colOff>508000</xdr:colOff>
      <xdr:row>58</xdr:row>
      <xdr:rowOff>116417</xdr:rowOff>
    </xdr:to>
    <xdr:cxnSp macro="">
      <xdr:nvCxnSpPr>
        <xdr:cNvPr id="9" name="Straight Arrow Connector 8">
          <a:extLst>
            <a:ext uri="{FF2B5EF4-FFF2-40B4-BE49-F238E27FC236}">
              <a16:creationId xmlns:a16="http://schemas.microsoft.com/office/drawing/2014/main" id="{00000000-0008-0000-1F00-000009000000}"/>
            </a:ext>
          </a:extLst>
        </xdr:cNvPr>
        <xdr:cNvCxnSpPr/>
      </xdr:nvCxnSpPr>
      <xdr:spPr>
        <a:xfrm flipH="1">
          <a:off x="2223559" y="11418358"/>
          <a:ext cx="875241" cy="70908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349251</xdr:colOff>
      <xdr:row>6</xdr:row>
      <xdr:rowOff>190500</xdr:rowOff>
    </xdr:from>
    <xdr:to>
      <xdr:col>0</xdr:col>
      <xdr:colOff>582083</xdr:colOff>
      <xdr:row>8</xdr:row>
      <xdr:rowOff>31750</xdr:rowOff>
    </xdr:to>
    <xdr:cxnSp macro="">
      <xdr:nvCxnSpPr>
        <xdr:cNvPr id="2" name="Straight Arrow Connector 1">
          <a:extLst>
            <a:ext uri="{FF2B5EF4-FFF2-40B4-BE49-F238E27FC236}">
              <a16:creationId xmlns:a16="http://schemas.microsoft.com/office/drawing/2014/main" id="{00000000-0008-0000-2000-000002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2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5484" y="0"/>
          <a:ext cx="1637202" cy="858308"/>
        </a:xfrm>
        <a:prstGeom prst="rect">
          <a:avLst/>
        </a:prstGeom>
      </xdr:spPr>
    </xdr:pic>
    <xdr:clientData/>
  </xdr:twoCellAnchor>
  <xdr:twoCellAnchor>
    <xdr:from>
      <xdr:col>0</xdr:col>
      <xdr:colOff>582083</xdr:colOff>
      <xdr:row>7</xdr:row>
      <xdr:rowOff>10583</xdr:rowOff>
    </xdr:from>
    <xdr:to>
      <xdr:col>1</xdr:col>
      <xdr:colOff>613832</xdr:colOff>
      <xdr:row>11</xdr:row>
      <xdr:rowOff>74084</xdr:rowOff>
    </xdr:to>
    <xdr:cxnSp macro="">
      <xdr:nvCxnSpPr>
        <xdr:cNvPr id="4" name="Straight Arrow Connector 3">
          <a:extLst>
            <a:ext uri="{FF2B5EF4-FFF2-40B4-BE49-F238E27FC236}">
              <a16:creationId xmlns:a16="http://schemas.microsoft.com/office/drawing/2014/main" id="{00000000-0008-0000-2000-000004000000}"/>
            </a:ext>
          </a:extLst>
        </xdr:cNvPr>
        <xdr:cNvCxnSpPr/>
      </xdr:nvCxnSpPr>
      <xdr:spPr>
        <a:xfrm flipH="1">
          <a:off x="582083" y="1693333"/>
          <a:ext cx="888999" cy="83608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349251</xdr:colOff>
      <xdr:row>7</xdr:row>
      <xdr:rowOff>21167</xdr:rowOff>
    </xdr:from>
    <xdr:to>
      <xdr:col>0</xdr:col>
      <xdr:colOff>687917</xdr:colOff>
      <xdr:row>8</xdr:row>
      <xdr:rowOff>31750</xdr:rowOff>
    </xdr:to>
    <xdr:cxnSp macro="">
      <xdr:nvCxnSpPr>
        <xdr:cNvPr id="2" name="Straight Arrow Connector 1">
          <a:extLst>
            <a:ext uri="{FF2B5EF4-FFF2-40B4-BE49-F238E27FC236}">
              <a16:creationId xmlns:a16="http://schemas.microsoft.com/office/drawing/2014/main" id="{00000000-0008-0000-2100-000002000000}"/>
            </a:ext>
          </a:extLst>
        </xdr:cNvPr>
        <xdr:cNvCxnSpPr/>
      </xdr:nvCxnSpPr>
      <xdr:spPr>
        <a:xfrm flipH="1">
          <a:off x="349251" y="1703917"/>
          <a:ext cx="338666" cy="201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555586</xdr:colOff>
      <xdr:row>3</xdr:row>
      <xdr:rowOff>10583</xdr:rowOff>
    </xdr:to>
    <xdr:pic>
      <xdr:nvPicPr>
        <xdr:cNvPr id="3" name="Picture 2">
          <a:extLst>
            <a:ext uri="{FF2B5EF4-FFF2-40B4-BE49-F238E27FC236}">
              <a16:creationId xmlns:a16="http://schemas.microsoft.com/office/drawing/2014/main" id="{00000000-0008-0000-2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72159" y="0"/>
          <a:ext cx="1637202" cy="858308"/>
        </a:xfrm>
        <a:prstGeom prst="rect">
          <a:avLst/>
        </a:prstGeom>
      </xdr:spPr>
    </xdr:pic>
    <xdr:clientData/>
  </xdr:twoCellAnchor>
  <xdr:twoCellAnchor>
    <xdr:from>
      <xdr:col>0</xdr:col>
      <xdr:colOff>582083</xdr:colOff>
      <xdr:row>7</xdr:row>
      <xdr:rowOff>10583</xdr:rowOff>
    </xdr:from>
    <xdr:to>
      <xdr:col>1</xdr:col>
      <xdr:colOff>613832</xdr:colOff>
      <xdr:row>11</xdr:row>
      <xdr:rowOff>74084</xdr:rowOff>
    </xdr:to>
    <xdr:cxnSp macro="">
      <xdr:nvCxnSpPr>
        <xdr:cNvPr id="4" name="Straight Arrow Connector 3">
          <a:extLst>
            <a:ext uri="{FF2B5EF4-FFF2-40B4-BE49-F238E27FC236}">
              <a16:creationId xmlns:a16="http://schemas.microsoft.com/office/drawing/2014/main" id="{00000000-0008-0000-2100-000004000000}"/>
            </a:ext>
          </a:extLst>
        </xdr:cNvPr>
        <xdr:cNvCxnSpPr/>
      </xdr:nvCxnSpPr>
      <xdr:spPr>
        <a:xfrm flipH="1">
          <a:off x="582083" y="1677458"/>
          <a:ext cx="888999" cy="83502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560917</xdr:colOff>
      <xdr:row>7</xdr:row>
      <xdr:rowOff>26458</xdr:rowOff>
    </xdr:from>
    <xdr:to>
      <xdr:col>2</xdr:col>
      <xdr:colOff>232833</xdr:colOff>
      <xdr:row>13</xdr:row>
      <xdr:rowOff>179916</xdr:rowOff>
    </xdr:to>
    <xdr:cxnSp macro="">
      <xdr:nvCxnSpPr>
        <xdr:cNvPr id="5" name="Straight Arrow Connector 4">
          <a:extLst>
            <a:ext uri="{FF2B5EF4-FFF2-40B4-BE49-F238E27FC236}">
              <a16:creationId xmlns:a16="http://schemas.microsoft.com/office/drawing/2014/main" id="{699A12CC-5104-4408-9761-C9AA3EF95AED}"/>
            </a:ext>
          </a:extLst>
        </xdr:cNvPr>
        <xdr:cNvCxnSpPr/>
      </xdr:nvCxnSpPr>
      <xdr:spPr>
        <a:xfrm flipH="1">
          <a:off x="560917" y="1709208"/>
          <a:ext cx="1375833" cy="1317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349251</xdr:colOff>
      <xdr:row>6</xdr:row>
      <xdr:rowOff>179916</xdr:rowOff>
    </xdr:from>
    <xdr:to>
      <xdr:col>1</xdr:col>
      <xdr:colOff>412750</xdr:colOff>
      <xdr:row>8</xdr:row>
      <xdr:rowOff>31750</xdr:rowOff>
    </xdr:to>
    <xdr:cxnSp macro="">
      <xdr:nvCxnSpPr>
        <xdr:cNvPr id="2" name="Straight Arrow Connector 1">
          <a:extLst>
            <a:ext uri="{FF2B5EF4-FFF2-40B4-BE49-F238E27FC236}">
              <a16:creationId xmlns:a16="http://schemas.microsoft.com/office/drawing/2014/main" id="{00000000-0008-0000-2200-000002000000}"/>
            </a:ext>
          </a:extLst>
        </xdr:cNvPr>
        <xdr:cNvCxnSpPr/>
      </xdr:nvCxnSpPr>
      <xdr:spPr>
        <a:xfrm flipH="1">
          <a:off x="349251" y="1661583"/>
          <a:ext cx="920749" cy="24341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19734" y="0"/>
          <a:ext cx="1637202" cy="858308"/>
        </a:xfrm>
        <a:prstGeom prst="rect">
          <a:avLst/>
        </a:prstGeom>
      </xdr:spPr>
    </xdr:pic>
    <xdr:clientData/>
  </xdr:twoCellAnchor>
  <xdr:twoCellAnchor>
    <xdr:from>
      <xdr:col>0</xdr:col>
      <xdr:colOff>402167</xdr:colOff>
      <xdr:row>7</xdr:row>
      <xdr:rowOff>10583</xdr:rowOff>
    </xdr:from>
    <xdr:to>
      <xdr:col>1</xdr:col>
      <xdr:colOff>613833</xdr:colOff>
      <xdr:row>11</xdr:row>
      <xdr:rowOff>31750</xdr:rowOff>
    </xdr:to>
    <xdr:cxnSp macro="">
      <xdr:nvCxnSpPr>
        <xdr:cNvPr id="4" name="Straight Arrow Connector 3">
          <a:extLst>
            <a:ext uri="{FF2B5EF4-FFF2-40B4-BE49-F238E27FC236}">
              <a16:creationId xmlns:a16="http://schemas.microsoft.com/office/drawing/2014/main" id="{00000000-0008-0000-2200-000004000000}"/>
            </a:ext>
          </a:extLst>
        </xdr:cNvPr>
        <xdr:cNvCxnSpPr/>
      </xdr:nvCxnSpPr>
      <xdr:spPr>
        <a:xfrm flipH="1">
          <a:off x="402167" y="1693333"/>
          <a:ext cx="1068916" cy="7937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349252</xdr:colOff>
      <xdr:row>7</xdr:row>
      <xdr:rowOff>10583</xdr:rowOff>
    </xdr:from>
    <xdr:to>
      <xdr:col>0</xdr:col>
      <xdr:colOff>508000</xdr:colOff>
      <xdr:row>8</xdr:row>
      <xdr:rowOff>31750</xdr:rowOff>
    </xdr:to>
    <xdr:cxnSp macro="">
      <xdr:nvCxnSpPr>
        <xdr:cNvPr id="2" name="Straight Arrow Connector 1">
          <a:extLst>
            <a:ext uri="{FF2B5EF4-FFF2-40B4-BE49-F238E27FC236}">
              <a16:creationId xmlns:a16="http://schemas.microsoft.com/office/drawing/2014/main" id="{00000000-0008-0000-2300-000002000000}"/>
            </a:ext>
          </a:extLst>
        </xdr:cNvPr>
        <xdr:cNvCxnSpPr/>
      </xdr:nvCxnSpPr>
      <xdr:spPr>
        <a:xfrm flipH="1">
          <a:off x="349252" y="1693333"/>
          <a:ext cx="158748" cy="2116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xdr:from>
      <xdr:col>0</xdr:col>
      <xdr:colOff>349252</xdr:colOff>
      <xdr:row>6</xdr:row>
      <xdr:rowOff>169333</xdr:rowOff>
    </xdr:from>
    <xdr:to>
      <xdr:col>1</xdr:col>
      <xdr:colOff>539750</xdr:colOff>
      <xdr:row>8</xdr:row>
      <xdr:rowOff>31750</xdr:rowOff>
    </xdr:to>
    <xdr:cxnSp macro="">
      <xdr:nvCxnSpPr>
        <xdr:cNvPr id="2" name="Straight Arrow Connector 1">
          <a:extLst>
            <a:ext uri="{FF2B5EF4-FFF2-40B4-BE49-F238E27FC236}">
              <a16:creationId xmlns:a16="http://schemas.microsoft.com/office/drawing/2014/main" id="{00000000-0008-0000-2400-000002000000}"/>
            </a:ext>
          </a:extLst>
        </xdr:cNvPr>
        <xdr:cNvCxnSpPr/>
      </xdr:nvCxnSpPr>
      <xdr:spPr>
        <a:xfrm flipH="1">
          <a:off x="349252" y="1651000"/>
          <a:ext cx="1047748" cy="254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349252</xdr:colOff>
      <xdr:row>6</xdr:row>
      <xdr:rowOff>190500</xdr:rowOff>
    </xdr:from>
    <xdr:to>
      <xdr:col>2</xdr:col>
      <xdr:colOff>201083</xdr:colOff>
      <xdr:row>11</xdr:row>
      <xdr:rowOff>31750</xdr:rowOff>
    </xdr:to>
    <xdr:cxnSp macro="">
      <xdr:nvCxnSpPr>
        <xdr:cNvPr id="4" name="Straight Arrow Connector 3">
          <a:extLst>
            <a:ext uri="{FF2B5EF4-FFF2-40B4-BE49-F238E27FC236}">
              <a16:creationId xmlns:a16="http://schemas.microsoft.com/office/drawing/2014/main" id="{00000000-0008-0000-2400-000004000000}"/>
            </a:ext>
          </a:extLst>
        </xdr:cNvPr>
        <xdr:cNvCxnSpPr/>
      </xdr:nvCxnSpPr>
      <xdr:spPr>
        <a:xfrm flipH="1">
          <a:off x="349252" y="1672167"/>
          <a:ext cx="1555748" cy="8149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349252</xdr:colOff>
      <xdr:row>6</xdr:row>
      <xdr:rowOff>190500</xdr:rowOff>
    </xdr:from>
    <xdr:to>
      <xdr:col>0</xdr:col>
      <xdr:colOff>836083</xdr:colOff>
      <xdr:row>8</xdr:row>
      <xdr:rowOff>31750</xdr:rowOff>
    </xdr:to>
    <xdr:cxnSp macro="">
      <xdr:nvCxnSpPr>
        <xdr:cNvPr id="2" name="Straight Arrow Connector 1">
          <a:extLst>
            <a:ext uri="{FF2B5EF4-FFF2-40B4-BE49-F238E27FC236}">
              <a16:creationId xmlns:a16="http://schemas.microsoft.com/office/drawing/2014/main" id="{00000000-0008-0000-2500-000002000000}"/>
            </a:ext>
          </a:extLst>
        </xdr:cNvPr>
        <xdr:cNvCxnSpPr/>
      </xdr:nvCxnSpPr>
      <xdr:spPr>
        <a:xfrm flipH="1">
          <a:off x="349252" y="1672167"/>
          <a:ext cx="486831" cy="2328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402167</xdr:colOff>
      <xdr:row>7</xdr:row>
      <xdr:rowOff>10583</xdr:rowOff>
    </xdr:from>
    <xdr:to>
      <xdr:col>1</xdr:col>
      <xdr:colOff>613833</xdr:colOff>
      <xdr:row>11</xdr:row>
      <xdr:rowOff>31750</xdr:rowOff>
    </xdr:to>
    <xdr:cxnSp macro="">
      <xdr:nvCxnSpPr>
        <xdr:cNvPr id="4" name="Straight Arrow Connector 3">
          <a:extLst>
            <a:ext uri="{FF2B5EF4-FFF2-40B4-BE49-F238E27FC236}">
              <a16:creationId xmlns:a16="http://schemas.microsoft.com/office/drawing/2014/main" id="{00000000-0008-0000-2500-000004000000}"/>
            </a:ext>
          </a:extLst>
        </xdr:cNvPr>
        <xdr:cNvCxnSpPr/>
      </xdr:nvCxnSpPr>
      <xdr:spPr>
        <a:xfrm flipH="1">
          <a:off x="402167" y="1677458"/>
          <a:ext cx="1068916" cy="79269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349252</xdr:colOff>
      <xdr:row>6</xdr:row>
      <xdr:rowOff>190500</xdr:rowOff>
    </xdr:from>
    <xdr:to>
      <xdr:col>0</xdr:col>
      <xdr:colOff>836083</xdr:colOff>
      <xdr:row>8</xdr:row>
      <xdr:rowOff>31750</xdr:rowOff>
    </xdr:to>
    <xdr:cxnSp macro="">
      <xdr:nvCxnSpPr>
        <xdr:cNvPr id="2" name="Straight Arrow Connector 1">
          <a:extLst>
            <a:ext uri="{FF2B5EF4-FFF2-40B4-BE49-F238E27FC236}">
              <a16:creationId xmlns:a16="http://schemas.microsoft.com/office/drawing/2014/main" id="{00000000-0008-0000-2600-000002000000}"/>
            </a:ext>
          </a:extLst>
        </xdr:cNvPr>
        <xdr:cNvCxnSpPr/>
      </xdr:nvCxnSpPr>
      <xdr:spPr>
        <a:xfrm flipH="1">
          <a:off x="349252" y="1657350"/>
          <a:ext cx="486831"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5" name="Straight Arrow Connector 4">
          <a:extLst>
            <a:ext uri="{FF2B5EF4-FFF2-40B4-BE49-F238E27FC236}">
              <a16:creationId xmlns:a16="http://schemas.microsoft.com/office/drawing/2014/main" id="{00000000-0008-0000-2600-000005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592667</xdr:colOff>
      <xdr:row>8</xdr:row>
      <xdr:rowOff>169333</xdr:rowOff>
    </xdr:from>
    <xdr:to>
      <xdr:col>1</xdr:col>
      <xdr:colOff>762000</xdr:colOff>
      <xdr:row>13</xdr:row>
      <xdr:rowOff>31750</xdr:rowOff>
    </xdr:to>
    <xdr:cxnSp macro="">
      <xdr:nvCxnSpPr>
        <xdr:cNvPr id="2" name="Straight Arrow Connector 1">
          <a:extLst>
            <a:ext uri="{FF2B5EF4-FFF2-40B4-BE49-F238E27FC236}">
              <a16:creationId xmlns:a16="http://schemas.microsoft.com/office/drawing/2014/main" id="{00000000-0008-0000-0300-000002000000}"/>
            </a:ext>
          </a:extLst>
        </xdr:cNvPr>
        <xdr:cNvCxnSpPr/>
      </xdr:nvCxnSpPr>
      <xdr:spPr>
        <a:xfrm flipH="1">
          <a:off x="592667" y="1636183"/>
          <a:ext cx="902758" cy="8339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19734" y="0"/>
          <a:ext cx="1637202" cy="858308"/>
        </a:xfrm>
        <a:prstGeom prst="rect">
          <a:avLst/>
        </a:prstGeom>
      </xdr:spPr>
    </xdr:pic>
    <xdr:clientData/>
  </xdr:twoCellAnchor>
  <xdr:twoCellAnchor>
    <xdr:from>
      <xdr:col>0</xdr:col>
      <xdr:colOff>433918</xdr:colOff>
      <xdr:row>9</xdr:row>
      <xdr:rowOff>21167</xdr:rowOff>
    </xdr:from>
    <xdr:to>
      <xdr:col>1</xdr:col>
      <xdr:colOff>74083</xdr:colOff>
      <xdr:row>10</xdr:row>
      <xdr:rowOff>74083</xdr:rowOff>
    </xdr:to>
    <xdr:cxnSp macro="">
      <xdr:nvCxnSpPr>
        <xdr:cNvPr id="4" name="Straight Arrow Connector 3">
          <a:extLst>
            <a:ext uri="{FF2B5EF4-FFF2-40B4-BE49-F238E27FC236}">
              <a16:creationId xmlns:a16="http://schemas.microsoft.com/office/drawing/2014/main" id="{00000000-0008-0000-0300-000004000000}"/>
            </a:ext>
          </a:extLst>
        </xdr:cNvPr>
        <xdr:cNvCxnSpPr/>
      </xdr:nvCxnSpPr>
      <xdr:spPr>
        <a:xfrm flipH="1">
          <a:off x="433918" y="1688042"/>
          <a:ext cx="373590" cy="2434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349252</xdr:colOff>
      <xdr:row>6</xdr:row>
      <xdr:rowOff>190500</xdr:rowOff>
    </xdr:from>
    <xdr:to>
      <xdr:col>0</xdr:col>
      <xdr:colOff>836083</xdr:colOff>
      <xdr:row>8</xdr:row>
      <xdr:rowOff>31750</xdr:rowOff>
    </xdr:to>
    <xdr:cxnSp macro="">
      <xdr:nvCxnSpPr>
        <xdr:cNvPr id="2" name="Straight Arrow Connector 1">
          <a:extLst>
            <a:ext uri="{FF2B5EF4-FFF2-40B4-BE49-F238E27FC236}">
              <a16:creationId xmlns:a16="http://schemas.microsoft.com/office/drawing/2014/main" id="{00000000-0008-0000-2700-000002000000}"/>
            </a:ext>
          </a:extLst>
        </xdr:cNvPr>
        <xdr:cNvCxnSpPr/>
      </xdr:nvCxnSpPr>
      <xdr:spPr>
        <a:xfrm flipH="1">
          <a:off x="349252" y="1657350"/>
          <a:ext cx="486831"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4" name="Straight Arrow Connector 3">
          <a:extLst>
            <a:ext uri="{FF2B5EF4-FFF2-40B4-BE49-F238E27FC236}">
              <a16:creationId xmlns:a16="http://schemas.microsoft.com/office/drawing/2014/main" id="{00000000-0008-0000-2700-000004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349252</xdr:colOff>
      <xdr:row>6</xdr:row>
      <xdr:rowOff>190500</xdr:rowOff>
    </xdr:from>
    <xdr:to>
      <xdr:col>0</xdr:col>
      <xdr:colOff>836083</xdr:colOff>
      <xdr:row>8</xdr:row>
      <xdr:rowOff>31750</xdr:rowOff>
    </xdr:to>
    <xdr:cxnSp macro="">
      <xdr:nvCxnSpPr>
        <xdr:cNvPr id="2" name="Straight Arrow Connector 1">
          <a:extLst>
            <a:ext uri="{FF2B5EF4-FFF2-40B4-BE49-F238E27FC236}">
              <a16:creationId xmlns:a16="http://schemas.microsoft.com/office/drawing/2014/main" id="{00000000-0008-0000-2800-000002000000}"/>
            </a:ext>
          </a:extLst>
        </xdr:cNvPr>
        <xdr:cNvCxnSpPr/>
      </xdr:nvCxnSpPr>
      <xdr:spPr>
        <a:xfrm flipH="1">
          <a:off x="349252" y="1657350"/>
          <a:ext cx="486831"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8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4" name="Straight Arrow Connector 3">
          <a:extLst>
            <a:ext uri="{FF2B5EF4-FFF2-40B4-BE49-F238E27FC236}">
              <a16:creationId xmlns:a16="http://schemas.microsoft.com/office/drawing/2014/main" id="{00000000-0008-0000-2800-000004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5" name="Straight Arrow Connector 4">
          <a:extLst>
            <a:ext uri="{FF2B5EF4-FFF2-40B4-BE49-F238E27FC236}">
              <a16:creationId xmlns:a16="http://schemas.microsoft.com/office/drawing/2014/main" id="{00000000-0008-0000-2800-000005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6" name="Straight Arrow Connector 5">
          <a:extLst>
            <a:ext uri="{FF2B5EF4-FFF2-40B4-BE49-F238E27FC236}">
              <a16:creationId xmlns:a16="http://schemas.microsoft.com/office/drawing/2014/main" id="{00000000-0008-0000-2800-000006000000}"/>
            </a:ext>
          </a:extLst>
        </xdr:cNvPr>
        <xdr:cNvCxnSpPr/>
      </xdr:nvCxnSpPr>
      <xdr:spPr>
        <a:xfrm flipH="1">
          <a:off x="349251" y="18478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349253</xdr:colOff>
      <xdr:row>6</xdr:row>
      <xdr:rowOff>190500</xdr:rowOff>
    </xdr:from>
    <xdr:to>
      <xdr:col>1</xdr:col>
      <xdr:colOff>730250</xdr:colOff>
      <xdr:row>8</xdr:row>
      <xdr:rowOff>31750</xdr:rowOff>
    </xdr:to>
    <xdr:cxnSp macro="">
      <xdr:nvCxnSpPr>
        <xdr:cNvPr id="2" name="Straight Arrow Connector 1">
          <a:extLst>
            <a:ext uri="{FF2B5EF4-FFF2-40B4-BE49-F238E27FC236}">
              <a16:creationId xmlns:a16="http://schemas.microsoft.com/office/drawing/2014/main" id="{00000000-0008-0000-2900-000002000000}"/>
            </a:ext>
          </a:extLst>
        </xdr:cNvPr>
        <xdr:cNvCxnSpPr/>
      </xdr:nvCxnSpPr>
      <xdr:spPr>
        <a:xfrm flipH="1">
          <a:off x="349253" y="1672167"/>
          <a:ext cx="1238247" cy="2328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4" name="Straight Arrow Connector 3">
          <a:extLst>
            <a:ext uri="{FF2B5EF4-FFF2-40B4-BE49-F238E27FC236}">
              <a16:creationId xmlns:a16="http://schemas.microsoft.com/office/drawing/2014/main" id="{00000000-0008-0000-2900-000004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5" name="Straight Arrow Connector 4">
          <a:extLst>
            <a:ext uri="{FF2B5EF4-FFF2-40B4-BE49-F238E27FC236}">
              <a16:creationId xmlns:a16="http://schemas.microsoft.com/office/drawing/2014/main" id="{00000000-0008-0000-2900-000005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6" name="Straight Arrow Connector 5">
          <a:extLst>
            <a:ext uri="{FF2B5EF4-FFF2-40B4-BE49-F238E27FC236}">
              <a16:creationId xmlns:a16="http://schemas.microsoft.com/office/drawing/2014/main" id="{00000000-0008-0000-2900-000006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349253</xdr:colOff>
      <xdr:row>6</xdr:row>
      <xdr:rowOff>190500</xdr:rowOff>
    </xdr:from>
    <xdr:to>
      <xdr:col>1</xdr:col>
      <xdr:colOff>730250</xdr:colOff>
      <xdr:row>8</xdr:row>
      <xdr:rowOff>31750</xdr:rowOff>
    </xdr:to>
    <xdr:cxnSp macro="">
      <xdr:nvCxnSpPr>
        <xdr:cNvPr id="2" name="Straight Arrow Connector 1">
          <a:extLst>
            <a:ext uri="{FF2B5EF4-FFF2-40B4-BE49-F238E27FC236}">
              <a16:creationId xmlns:a16="http://schemas.microsoft.com/office/drawing/2014/main" id="{00000000-0008-0000-2A00-000002000000}"/>
            </a:ext>
          </a:extLst>
        </xdr:cNvPr>
        <xdr:cNvCxnSpPr/>
      </xdr:nvCxnSpPr>
      <xdr:spPr>
        <a:xfrm flipH="1">
          <a:off x="349253" y="1657350"/>
          <a:ext cx="1238247"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A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4" name="Straight Arrow Connector 3">
          <a:extLst>
            <a:ext uri="{FF2B5EF4-FFF2-40B4-BE49-F238E27FC236}">
              <a16:creationId xmlns:a16="http://schemas.microsoft.com/office/drawing/2014/main" id="{00000000-0008-0000-2A00-000004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5" name="Straight Arrow Connector 4">
          <a:extLst>
            <a:ext uri="{FF2B5EF4-FFF2-40B4-BE49-F238E27FC236}">
              <a16:creationId xmlns:a16="http://schemas.microsoft.com/office/drawing/2014/main" id="{00000000-0008-0000-2A00-000005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6" name="Straight Arrow Connector 5">
          <a:extLst>
            <a:ext uri="{FF2B5EF4-FFF2-40B4-BE49-F238E27FC236}">
              <a16:creationId xmlns:a16="http://schemas.microsoft.com/office/drawing/2014/main" id="{00000000-0008-0000-2A00-000006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349253</xdr:colOff>
      <xdr:row>6</xdr:row>
      <xdr:rowOff>190500</xdr:rowOff>
    </xdr:from>
    <xdr:to>
      <xdr:col>1</xdr:col>
      <xdr:colOff>730250</xdr:colOff>
      <xdr:row>8</xdr:row>
      <xdr:rowOff>31750</xdr:rowOff>
    </xdr:to>
    <xdr:cxnSp macro="">
      <xdr:nvCxnSpPr>
        <xdr:cNvPr id="2" name="Straight Arrow Connector 1">
          <a:extLst>
            <a:ext uri="{FF2B5EF4-FFF2-40B4-BE49-F238E27FC236}">
              <a16:creationId xmlns:a16="http://schemas.microsoft.com/office/drawing/2014/main" id="{00000000-0008-0000-2B00-000002000000}"/>
            </a:ext>
          </a:extLst>
        </xdr:cNvPr>
        <xdr:cNvCxnSpPr/>
      </xdr:nvCxnSpPr>
      <xdr:spPr>
        <a:xfrm flipH="1">
          <a:off x="349253" y="1657350"/>
          <a:ext cx="1238247"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B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4" name="Straight Arrow Connector 3">
          <a:extLst>
            <a:ext uri="{FF2B5EF4-FFF2-40B4-BE49-F238E27FC236}">
              <a16:creationId xmlns:a16="http://schemas.microsoft.com/office/drawing/2014/main" id="{00000000-0008-0000-2B00-000004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5" name="Straight Arrow Connector 4">
          <a:extLst>
            <a:ext uri="{FF2B5EF4-FFF2-40B4-BE49-F238E27FC236}">
              <a16:creationId xmlns:a16="http://schemas.microsoft.com/office/drawing/2014/main" id="{00000000-0008-0000-2B00-000005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6" name="Straight Arrow Connector 5">
          <a:extLst>
            <a:ext uri="{FF2B5EF4-FFF2-40B4-BE49-F238E27FC236}">
              <a16:creationId xmlns:a16="http://schemas.microsoft.com/office/drawing/2014/main" id="{00000000-0008-0000-2B00-000006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5.xml><?xml version="1.0" encoding="utf-8"?>
<xdr:wsDr xmlns:xdr="http://schemas.openxmlformats.org/drawingml/2006/spreadsheetDrawing" xmlns:a="http://schemas.openxmlformats.org/drawingml/2006/main">
  <xdr:twoCellAnchor editAs="oneCell">
    <xdr:from>
      <xdr:col>12</xdr:col>
      <xdr:colOff>137584</xdr:colOff>
      <xdr:row>0</xdr:row>
      <xdr:rowOff>0</xdr:rowOff>
    </xdr:from>
    <xdr:to>
      <xdr:col>14</xdr:col>
      <xdr:colOff>555587</xdr:colOff>
      <xdr:row>3</xdr:row>
      <xdr:rowOff>10583</xdr:rowOff>
    </xdr:to>
    <xdr:pic>
      <xdr:nvPicPr>
        <xdr:cNvPr id="3" name="Picture 2">
          <a:extLst>
            <a:ext uri="{FF2B5EF4-FFF2-40B4-BE49-F238E27FC236}">
              <a16:creationId xmlns:a16="http://schemas.microsoft.com/office/drawing/2014/main" id="{00000000-0008-0000-2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4" name="Straight Arrow Connector 3">
          <a:extLst>
            <a:ext uri="{FF2B5EF4-FFF2-40B4-BE49-F238E27FC236}">
              <a16:creationId xmlns:a16="http://schemas.microsoft.com/office/drawing/2014/main" id="{00000000-0008-0000-2C00-000004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5" name="Straight Arrow Connector 4">
          <a:extLst>
            <a:ext uri="{FF2B5EF4-FFF2-40B4-BE49-F238E27FC236}">
              <a16:creationId xmlns:a16="http://schemas.microsoft.com/office/drawing/2014/main" id="{00000000-0008-0000-2C00-000005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6" name="Straight Arrow Connector 5">
          <a:extLst>
            <a:ext uri="{FF2B5EF4-FFF2-40B4-BE49-F238E27FC236}">
              <a16:creationId xmlns:a16="http://schemas.microsoft.com/office/drawing/2014/main" id="{00000000-0008-0000-2C00-000006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304800</xdr:colOff>
      <xdr:row>7</xdr:row>
      <xdr:rowOff>28575</xdr:rowOff>
    </xdr:from>
    <xdr:to>
      <xdr:col>1</xdr:col>
      <xdr:colOff>556682</xdr:colOff>
      <xdr:row>11</xdr:row>
      <xdr:rowOff>66675</xdr:rowOff>
    </xdr:to>
    <xdr:cxnSp macro="">
      <xdr:nvCxnSpPr>
        <xdr:cNvPr id="7" name="Straight Arrow Connector 6">
          <a:extLst>
            <a:ext uri="{FF2B5EF4-FFF2-40B4-BE49-F238E27FC236}">
              <a16:creationId xmlns:a16="http://schemas.microsoft.com/office/drawing/2014/main" id="{00000000-0008-0000-2C00-000007000000}"/>
            </a:ext>
          </a:extLst>
        </xdr:cNvPr>
        <xdr:cNvCxnSpPr/>
      </xdr:nvCxnSpPr>
      <xdr:spPr>
        <a:xfrm flipH="1">
          <a:off x="304800" y="1885950"/>
          <a:ext cx="1118657" cy="809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6.xml><?xml version="1.0" encoding="utf-8"?>
<xdr:wsDr xmlns:xdr="http://schemas.openxmlformats.org/drawingml/2006/spreadsheetDrawing" xmlns:a="http://schemas.openxmlformats.org/drawingml/2006/main">
  <xdr:twoCellAnchor editAs="oneCell">
    <xdr:from>
      <xdr:col>12</xdr:col>
      <xdr:colOff>137584</xdr:colOff>
      <xdr:row>0</xdr:row>
      <xdr:rowOff>0</xdr:rowOff>
    </xdr:from>
    <xdr:to>
      <xdr:col>14</xdr:col>
      <xdr:colOff>555587</xdr:colOff>
      <xdr:row>3</xdr:row>
      <xdr:rowOff>10583</xdr:rowOff>
    </xdr:to>
    <xdr:pic>
      <xdr:nvPicPr>
        <xdr:cNvPr id="2" name="Picture 1">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3" name="Straight Arrow Connector 2">
          <a:extLst>
            <a:ext uri="{FF2B5EF4-FFF2-40B4-BE49-F238E27FC236}">
              <a16:creationId xmlns:a16="http://schemas.microsoft.com/office/drawing/2014/main" id="{00000000-0008-0000-2D00-000003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4" name="Straight Arrow Connector 3">
          <a:extLst>
            <a:ext uri="{FF2B5EF4-FFF2-40B4-BE49-F238E27FC236}">
              <a16:creationId xmlns:a16="http://schemas.microsoft.com/office/drawing/2014/main" id="{00000000-0008-0000-2D00-000004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5" name="Straight Arrow Connector 4">
          <a:extLst>
            <a:ext uri="{FF2B5EF4-FFF2-40B4-BE49-F238E27FC236}">
              <a16:creationId xmlns:a16="http://schemas.microsoft.com/office/drawing/2014/main" id="{00000000-0008-0000-2D00-000005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304800</xdr:colOff>
      <xdr:row>7</xdr:row>
      <xdr:rowOff>28575</xdr:rowOff>
    </xdr:from>
    <xdr:to>
      <xdr:col>1</xdr:col>
      <xdr:colOff>556682</xdr:colOff>
      <xdr:row>11</xdr:row>
      <xdr:rowOff>66675</xdr:rowOff>
    </xdr:to>
    <xdr:cxnSp macro="">
      <xdr:nvCxnSpPr>
        <xdr:cNvPr id="6" name="Straight Arrow Connector 5">
          <a:extLst>
            <a:ext uri="{FF2B5EF4-FFF2-40B4-BE49-F238E27FC236}">
              <a16:creationId xmlns:a16="http://schemas.microsoft.com/office/drawing/2014/main" id="{00000000-0008-0000-2D00-000006000000}"/>
            </a:ext>
          </a:extLst>
        </xdr:cNvPr>
        <xdr:cNvCxnSpPr/>
      </xdr:nvCxnSpPr>
      <xdr:spPr>
        <a:xfrm flipH="1">
          <a:off x="304800" y="1695450"/>
          <a:ext cx="1109132" cy="809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7.xml><?xml version="1.0" encoding="utf-8"?>
<xdr:wsDr xmlns:xdr="http://schemas.openxmlformats.org/drawingml/2006/spreadsheetDrawing" xmlns:a="http://schemas.openxmlformats.org/drawingml/2006/main">
  <xdr:twoCellAnchor editAs="oneCell">
    <xdr:from>
      <xdr:col>12</xdr:col>
      <xdr:colOff>137584</xdr:colOff>
      <xdr:row>0</xdr:row>
      <xdr:rowOff>0</xdr:rowOff>
    </xdr:from>
    <xdr:to>
      <xdr:col>14</xdr:col>
      <xdr:colOff>555587</xdr:colOff>
      <xdr:row>3</xdr:row>
      <xdr:rowOff>10583</xdr:rowOff>
    </xdr:to>
    <xdr:pic>
      <xdr:nvPicPr>
        <xdr:cNvPr id="2" name="Picture 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3" name="Straight Arrow Connector 2">
          <a:extLst>
            <a:ext uri="{FF2B5EF4-FFF2-40B4-BE49-F238E27FC236}">
              <a16:creationId xmlns:a16="http://schemas.microsoft.com/office/drawing/2014/main" id="{00000000-0008-0000-2E00-000003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4" name="Straight Arrow Connector 3">
          <a:extLst>
            <a:ext uri="{FF2B5EF4-FFF2-40B4-BE49-F238E27FC236}">
              <a16:creationId xmlns:a16="http://schemas.microsoft.com/office/drawing/2014/main" id="{00000000-0008-0000-2E00-000004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5" name="Straight Arrow Connector 4">
          <a:extLst>
            <a:ext uri="{FF2B5EF4-FFF2-40B4-BE49-F238E27FC236}">
              <a16:creationId xmlns:a16="http://schemas.microsoft.com/office/drawing/2014/main" id="{00000000-0008-0000-2E00-000005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304800</xdr:colOff>
      <xdr:row>7</xdr:row>
      <xdr:rowOff>28575</xdr:rowOff>
    </xdr:from>
    <xdr:to>
      <xdr:col>1</xdr:col>
      <xdr:colOff>556682</xdr:colOff>
      <xdr:row>11</xdr:row>
      <xdr:rowOff>66675</xdr:rowOff>
    </xdr:to>
    <xdr:cxnSp macro="">
      <xdr:nvCxnSpPr>
        <xdr:cNvPr id="6" name="Straight Arrow Connector 5">
          <a:extLst>
            <a:ext uri="{FF2B5EF4-FFF2-40B4-BE49-F238E27FC236}">
              <a16:creationId xmlns:a16="http://schemas.microsoft.com/office/drawing/2014/main" id="{00000000-0008-0000-2E00-000006000000}"/>
            </a:ext>
          </a:extLst>
        </xdr:cNvPr>
        <xdr:cNvCxnSpPr/>
      </xdr:nvCxnSpPr>
      <xdr:spPr>
        <a:xfrm flipH="1">
          <a:off x="304800" y="1695450"/>
          <a:ext cx="1109132" cy="809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8.xml><?xml version="1.0" encoding="utf-8"?>
<xdr:wsDr xmlns:xdr="http://schemas.openxmlformats.org/drawingml/2006/spreadsheetDrawing" xmlns:a="http://schemas.openxmlformats.org/drawingml/2006/main">
  <xdr:twoCellAnchor editAs="oneCell">
    <xdr:from>
      <xdr:col>12</xdr:col>
      <xdr:colOff>137584</xdr:colOff>
      <xdr:row>0</xdr:row>
      <xdr:rowOff>0</xdr:rowOff>
    </xdr:from>
    <xdr:to>
      <xdr:col>14</xdr:col>
      <xdr:colOff>555587</xdr:colOff>
      <xdr:row>3</xdr:row>
      <xdr:rowOff>10583</xdr:rowOff>
    </xdr:to>
    <xdr:pic>
      <xdr:nvPicPr>
        <xdr:cNvPr id="2" name="Picture 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9759" y="0"/>
          <a:ext cx="1637203" cy="858308"/>
        </a:xfrm>
        <a:prstGeom prst="rect">
          <a:avLst/>
        </a:prstGeom>
      </xdr:spPr>
    </xdr:pic>
    <xdr:clientData/>
  </xdr:twoCellAnchor>
  <xdr:twoCellAnchor>
    <xdr:from>
      <xdr:col>0</xdr:col>
      <xdr:colOff>349251</xdr:colOff>
      <xdr:row>6</xdr:row>
      <xdr:rowOff>190500</xdr:rowOff>
    </xdr:from>
    <xdr:to>
      <xdr:col>0</xdr:col>
      <xdr:colOff>582083</xdr:colOff>
      <xdr:row>8</xdr:row>
      <xdr:rowOff>31750</xdr:rowOff>
    </xdr:to>
    <xdr:cxnSp macro="">
      <xdr:nvCxnSpPr>
        <xdr:cNvPr id="3" name="Straight Arrow Connector 2">
          <a:extLst>
            <a:ext uri="{FF2B5EF4-FFF2-40B4-BE49-F238E27FC236}">
              <a16:creationId xmlns:a16="http://schemas.microsoft.com/office/drawing/2014/main" id="{00000000-0008-0000-2F00-000003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4" name="Straight Arrow Connector 3">
          <a:extLst>
            <a:ext uri="{FF2B5EF4-FFF2-40B4-BE49-F238E27FC236}">
              <a16:creationId xmlns:a16="http://schemas.microsoft.com/office/drawing/2014/main" id="{00000000-0008-0000-2F00-000004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6</xdr:row>
      <xdr:rowOff>190500</xdr:rowOff>
    </xdr:from>
    <xdr:to>
      <xdr:col>0</xdr:col>
      <xdr:colOff>582083</xdr:colOff>
      <xdr:row>8</xdr:row>
      <xdr:rowOff>31750</xdr:rowOff>
    </xdr:to>
    <xdr:cxnSp macro="">
      <xdr:nvCxnSpPr>
        <xdr:cNvPr id="5" name="Straight Arrow Connector 4">
          <a:extLst>
            <a:ext uri="{FF2B5EF4-FFF2-40B4-BE49-F238E27FC236}">
              <a16:creationId xmlns:a16="http://schemas.microsoft.com/office/drawing/2014/main" id="{00000000-0008-0000-2F00-000005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304800</xdr:colOff>
      <xdr:row>7</xdr:row>
      <xdr:rowOff>28575</xdr:rowOff>
    </xdr:from>
    <xdr:to>
      <xdr:col>1</xdr:col>
      <xdr:colOff>556682</xdr:colOff>
      <xdr:row>11</xdr:row>
      <xdr:rowOff>66675</xdr:rowOff>
    </xdr:to>
    <xdr:cxnSp macro="">
      <xdr:nvCxnSpPr>
        <xdr:cNvPr id="6" name="Straight Arrow Connector 5">
          <a:extLst>
            <a:ext uri="{FF2B5EF4-FFF2-40B4-BE49-F238E27FC236}">
              <a16:creationId xmlns:a16="http://schemas.microsoft.com/office/drawing/2014/main" id="{00000000-0008-0000-2F00-000006000000}"/>
            </a:ext>
          </a:extLst>
        </xdr:cNvPr>
        <xdr:cNvCxnSpPr/>
      </xdr:nvCxnSpPr>
      <xdr:spPr>
        <a:xfrm flipH="1">
          <a:off x="304800" y="1695450"/>
          <a:ext cx="1109132" cy="809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9.xml><?xml version="1.0" encoding="utf-8"?>
<xdr:wsDr xmlns:xdr="http://schemas.openxmlformats.org/drawingml/2006/spreadsheetDrawing" xmlns:a="http://schemas.openxmlformats.org/drawingml/2006/main">
  <xdr:twoCellAnchor editAs="oneCell">
    <xdr:from>
      <xdr:col>12</xdr:col>
      <xdr:colOff>137584</xdr:colOff>
      <xdr:row>0</xdr:row>
      <xdr:rowOff>0</xdr:rowOff>
    </xdr:from>
    <xdr:to>
      <xdr:col>14</xdr:col>
      <xdr:colOff>555587</xdr:colOff>
      <xdr:row>3</xdr:row>
      <xdr:rowOff>10583</xdr:rowOff>
    </xdr:to>
    <xdr:pic>
      <xdr:nvPicPr>
        <xdr:cNvPr id="2" name="Picture 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43584" y="0"/>
          <a:ext cx="1637203" cy="858308"/>
        </a:xfrm>
        <a:prstGeom prst="rect">
          <a:avLst/>
        </a:prstGeom>
      </xdr:spPr>
    </xdr:pic>
    <xdr:clientData/>
  </xdr:twoCellAnchor>
  <xdr:twoCellAnchor>
    <xdr:from>
      <xdr:col>0</xdr:col>
      <xdr:colOff>349251</xdr:colOff>
      <xdr:row>7</xdr:row>
      <xdr:rowOff>190500</xdr:rowOff>
    </xdr:from>
    <xdr:to>
      <xdr:col>0</xdr:col>
      <xdr:colOff>582083</xdr:colOff>
      <xdr:row>9</xdr:row>
      <xdr:rowOff>31750</xdr:rowOff>
    </xdr:to>
    <xdr:cxnSp macro="">
      <xdr:nvCxnSpPr>
        <xdr:cNvPr id="3" name="Straight Arrow Connector 2">
          <a:extLst>
            <a:ext uri="{FF2B5EF4-FFF2-40B4-BE49-F238E27FC236}">
              <a16:creationId xmlns:a16="http://schemas.microsoft.com/office/drawing/2014/main" id="{00000000-0008-0000-3000-000003000000}"/>
            </a:ext>
          </a:extLst>
        </xdr:cNvPr>
        <xdr:cNvCxnSpPr/>
      </xdr:nvCxnSpPr>
      <xdr:spPr>
        <a:xfrm flipH="1">
          <a:off x="349251" y="1657350"/>
          <a:ext cx="232832" cy="2317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349251</xdr:colOff>
      <xdr:row>7</xdr:row>
      <xdr:rowOff>179916</xdr:rowOff>
    </xdr:from>
    <xdr:to>
      <xdr:col>1</xdr:col>
      <xdr:colOff>105833</xdr:colOff>
      <xdr:row>9</xdr:row>
      <xdr:rowOff>31750</xdr:rowOff>
    </xdr:to>
    <xdr:cxnSp macro="">
      <xdr:nvCxnSpPr>
        <xdr:cNvPr id="5" name="Straight Arrow Connector 4">
          <a:extLst>
            <a:ext uri="{FF2B5EF4-FFF2-40B4-BE49-F238E27FC236}">
              <a16:creationId xmlns:a16="http://schemas.microsoft.com/office/drawing/2014/main" id="{00000000-0008-0000-3000-000005000000}"/>
            </a:ext>
          </a:extLst>
        </xdr:cNvPr>
        <xdr:cNvCxnSpPr/>
      </xdr:nvCxnSpPr>
      <xdr:spPr>
        <a:xfrm flipH="1">
          <a:off x="349251" y="1661583"/>
          <a:ext cx="613832" cy="24341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433918</xdr:colOff>
      <xdr:row>8</xdr:row>
      <xdr:rowOff>21167</xdr:rowOff>
    </xdr:from>
    <xdr:to>
      <xdr:col>1</xdr:col>
      <xdr:colOff>740833</xdr:colOff>
      <xdr:row>9</xdr:row>
      <xdr:rowOff>31750</xdr:rowOff>
    </xdr:to>
    <xdr:cxnSp macro="">
      <xdr:nvCxnSpPr>
        <xdr:cNvPr id="6" name="Straight Arrow Connector 5">
          <a:extLst>
            <a:ext uri="{FF2B5EF4-FFF2-40B4-BE49-F238E27FC236}">
              <a16:creationId xmlns:a16="http://schemas.microsoft.com/office/drawing/2014/main" id="{00000000-0008-0000-3000-000006000000}"/>
            </a:ext>
          </a:extLst>
        </xdr:cNvPr>
        <xdr:cNvCxnSpPr/>
      </xdr:nvCxnSpPr>
      <xdr:spPr>
        <a:xfrm flipH="1">
          <a:off x="433918" y="1703917"/>
          <a:ext cx="1164165" cy="201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592667</xdr:colOff>
      <xdr:row>7</xdr:row>
      <xdr:rowOff>169333</xdr:rowOff>
    </xdr:from>
    <xdr:to>
      <xdr:col>1</xdr:col>
      <xdr:colOff>762000</xdr:colOff>
      <xdr:row>12</xdr:row>
      <xdr:rowOff>31750</xdr:rowOff>
    </xdr:to>
    <xdr:cxnSp macro="">
      <xdr:nvCxnSpPr>
        <xdr:cNvPr id="2" name="Straight Arrow Connector 1">
          <a:extLst>
            <a:ext uri="{FF2B5EF4-FFF2-40B4-BE49-F238E27FC236}">
              <a16:creationId xmlns:a16="http://schemas.microsoft.com/office/drawing/2014/main" id="{00000000-0008-0000-0400-000002000000}"/>
            </a:ext>
          </a:extLst>
        </xdr:cNvPr>
        <xdr:cNvCxnSpPr/>
      </xdr:nvCxnSpPr>
      <xdr:spPr>
        <a:xfrm flipH="1">
          <a:off x="592667" y="1826683"/>
          <a:ext cx="902758" cy="8339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19734" y="0"/>
          <a:ext cx="1637202" cy="858308"/>
        </a:xfrm>
        <a:prstGeom prst="rect">
          <a:avLst/>
        </a:prstGeom>
      </xdr:spPr>
    </xdr:pic>
    <xdr:clientData/>
  </xdr:twoCellAnchor>
  <xdr:twoCellAnchor>
    <xdr:from>
      <xdr:col>0</xdr:col>
      <xdr:colOff>433918</xdr:colOff>
      <xdr:row>8</xdr:row>
      <xdr:rowOff>21167</xdr:rowOff>
    </xdr:from>
    <xdr:to>
      <xdr:col>1</xdr:col>
      <xdr:colOff>74083</xdr:colOff>
      <xdr:row>9</xdr:row>
      <xdr:rowOff>74083</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flipH="1">
          <a:off x="433918" y="1878542"/>
          <a:ext cx="373590" cy="2434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338667</xdr:colOff>
      <xdr:row>31</xdr:row>
      <xdr:rowOff>127000</xdr:rowOff>
    </xdr:from>
    <xdr:to>
      <xdr:col>9</xdr:col>
      <xdr:colOff>645584</xdr:colOff>
      <xdr:row>32</xdr:row>
      <xdr:rowOff>95250</xdr:rowOff>
    </xdr:to>
    <xdr:cxnSp macro="">
      <xdr:nvCxnSpPr>
        <xdr:cNvPr id="6" name="Straight Arrow Connector 5">
          <a:extLst>
            <a:ext uri="{FF2B5EF4-FFF2-40B4-BE49-F238E27FC236}">
              <a16:creationId xmlns:a16="http://schemas.microsoft.com/office/drawing/2014/main" id="{00000000-0008-0000-0400-000006000000}"/>
            </a:ext>
          </a:extLst>
        </xdr:cNvPr>
        <xdr:cNvCxnSpPr/>
      </xdr:nvCxnSpPr>
      <xdr:spPr>
        <a:xfrm>
          <a:off x="6656917" y="6466417"/>
          <a:ext cx="920750" cy="1587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0.xml><?xml version="1.0" encoding="utf-8"?>
<xdr:wsDr xmlns:xdr="http://schemas.openxmlformats.org/drawingml/2006/spreadsheetDrawing" xmlns:a="http://schemas.openxmlformats.org/drawingml/2006/main">
  <xdr:twoCellAnchor editAs="oneCell">
    <xdr:from>
      <xdr:col>12</xdr:col>
      <xdr:colOff>137584</xdr:colOff>
      <xdr:row>0</xdr:row>
      <xdr:rowOff>0</xdr:rowOff>
    </xdr:from>
    <xdr:to>
      <xdr:col>14</xdr:col>
      <xdr:colOff>555587</xdr:colOff>
      <xdr:row>3</xdr:row>
      <xdr:rowOff>10583</xdr:rowOff>
    </xdr:to>
    <xdr:pic>
      <xdr:nvPicPr>
        <xdr:cNvPr id="2" name="Picture 1">
          <a:extLst>
            <a:ext uri="{FF2B5EF4-FFF2-40B4-BE49-F238E27FC236}">
              <a16:creationId xmlns:a16="http://schemas.microsoft.com/office/drawing/2014/main" id="{00000000-0008-0000-3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43584" y="0"/>
          <a:ext cx="1637203" cy="858308"/>
        </a:xfrm>
        <a:prstGeom prst="rect">
          <a:avLst/>
        </a:prstGeom>
      </xdr:spPr>
    </xdr:pic>
    <xdr:clientData/>
  </xdr:twoCellAnchor>
  <xdr:twoCellAnchor>
    <xdr:from>
      <xdr:col>0</xdr:col>
      <xdr:colOff>349251</xdr:colOff>
      <xdr:row>8</xdr:row>
      <xdr:rowOff>179916</xdr:rowOff>
    </xdr:from>
    <xdr:to>
      <xdr:col>1</xdr:col>
      <xdr:colOff>105833</xdr:colOff>
      <xdr:row>10</xdr:row>
      <xdr:rowOff>31750</xdr:rowOff>
    </xdr:to>
    <xdr:cxnSp macro="">
      <xdr:nvCxnSpPr>
        <xdr:cNvPr id="4" name="Straight Arrow Connector 3">
          <a:extLst>
            <a:ext uri="{FF2B5EF4-FFF2-40B4-BE49-F238E27FC236}">
              <a16:creationId xmlns:a16="http://schemas.microsoft.com/office/drawing/2014/main" id="{00000000-0008-0000-3200-000004000000}"/>
            </a:ext>
          </a:extLst>
        </xdr:cNvPr>
        <xdr:cNvCxnSpPr/>
      </xdr:nvCxnSpPr>
      <xdr:spPr>
        <a:xfrm flipH="1">
          <a:off x="349251" y="2027766"/>
          <a:ext cx="613832" cy="24235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433918</xdr:colOff>
      <xdr:row>9</xdr:row>
      <xdr:rowOff>21167</xdr:rowOff>
    </xdr:from>
    <xdr:to>
      <xdr:col>1</xdr:col>
      <xdr:colOff>740833</xdr:colOff>
      <xdr:row>10</xdr:row>
      <xdr:rowOff>31750</xdr:rowOff>
    </xdr:to>
    <xdr:cxnSp macro="">
      <xdr:nvCxnSpPr>
        <xdr:cNvPr id="5" name="Straight Arrow Connector 4">
          <a:extLst>
            <a:ext uri="{FF2B5EF4-FFF2-40B4-BE49-F238E27FC236}">
              <a16:creationId xmlns:a16="http://schemas.microsoft.com/office/drawing/2014/main" id="{00000000-0008-0000-3200-000005000000}"/>
            </a:ext>
          </a:extLst>
        </xdr:cNvPr>
        <xdr:cNvCxnSpPr/>
      </xdr:nvCxnSpPr>
      <xdr:spPr>
        <a:xfrm flipH="1">
          <a:off x="433918" y="2069042"/>
          <a:ext cx="1164165" cy="201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1.xml><?xml version="1.0" encoding="utf-8"?>
<xdr:wsDr xmlns:xdr="http://schemas.openxmlformats.org/drawingml/2006/spreadsheetDrawing" xmlns:a="http://schemas.openxmlformats.org/drawingml/2006/main">
  <xdr:twoCellAnchor editAs="oneCell">
    <xdr:from>
      <xdr:col>12</xdr:col>
      <xdr:colOff>137584</xdr:colOff>
      <xdr:row>0</xdr:row>
      <xdr:rowOff>0</xdr:rowOff>
    </xdr:from>
    <xdr:to>
      <xdr:col>14</xdr:col>
      <xdr:colOff>555587</xdr:colOff>
      <xdr:row>3</xdr:row>
      <xdr:rowOff>10583</xdr:rowOff>
    </xdr:to>
    <xdr:pic>
      <xdr:nvPicPr>
        <xdr:cNvPr id="2" name="Picture 1">
          <a:extLst>
            <a:ext uri="{FF2B5EF4-FFF2-40B4-BE49-F238E27FC236}">
              <a16:creationId xmlns:a16="http://schemas.microsoft.com/office/drawing/2014/main" id="{00000000-0008-0000-3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43584" y="0"/>
          <a:ext cx="1637203" cy="858308"/>
        </a:xfrm>
        <a:prstGeom prst="rect">
          <a:avLst/>
        </a:prstGeom>
      </xdr:spPr>
    </xdr:pic>
    <xdr:clientData/>
  </xdr:twoCellAnchor>
  <xdr:twoCellAnchor>
    <xdr:from>
      <xdr:col>0</xdr:col>
      <xdr:colOff>349251</xdr:colOff>
      <xdr:row>6</xdr:row>
      <xdr:rowOff>179916</xdr:rowOff>
    </xdr:from>
    <xdr:to>
      <xdr:col>1</xdr:col>
      <xdr:colOff>105833</xdr:colOff>
      <xdr:row>8</xdr:row>
      <xdr:rowOff>31750</xdr:rowOff>
    </xdr:to>
    <xdr:cxnSp macro="">
      <xdr:nvCxnSpPr>
        <xdr:cNvPr id="3" name="Straight Arrow Connector 2">
          <a:extLst>
            <a:ext uri="{FF2B5EF4-FFF2-40B4-BE49-F238E27FC236}">
              <a16:creationId xmlns:a16="http://schemas.microsoft.com/office/drawing/2014/main" id="{00000000-0008-0000-3300-000003000000}"/>
            </a:ext>
          </a:extLst>
        </xdr:cNvPr>
        <xdr:cNvCxnSpPr/>
      </xdr:nvCxnSpPr>
      <xdr:spPr>
        <a:xfrm flipH="1">
          <a:off x="349251" y="2027766"/>
          <a:ext cx="613832" cy="24235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433918</xdr:colOff>
      <xdr:row>7</xdr:row>
      <xdr:rowOff>21167</xdr:rowOff>
    </xdr:from>
    <xdr:to>
      <xdr:col>1</xdr:col>
      <xdr:colOff>740833</xdr:colOff>
      <xdr:row>8</xdr:row>
      <xdr:rowOff>31750</xdr:rowOff>
    </xdr:to>
    <xdr:cxnSp macro="">
      <xdr:nvCxnSpPr>
        <xdr:cNvPr id="4" name="Straight Arrow Connector 3">
          <a:extLst>
            <a:ext uri="{FF2B5EF4-FFF2-40B4-BE49-F238E27FC236}">
              <a16:creationId xmlns:a16="http://schemas.microsoft.com/office/drawing/2014/main" id="{00000000-0008-0000-3300-000004000000}"/>
            </a:ext>
          </a:extLst>
        </xdr:cNvPr>
        <xdr:cNvCxnSpPr/>
      </xdr:nvCxnSpPr>
      <xdr:spPr>
        <a:xfrm flipH="1">
          <a:off x="433918" y="2069042"/>
          <a:ext cx="1164165" cy="201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2.xml><?xml version="1.0" encoding="utf-8"?>
<xdr:wsDr xmlns:xdr="http://schemas.openxmlformats.org/drawingml/2006/spreadsheetDrawing" xmlns:a="http://schemas.openxmlformats.org/drawingml/2006/main">
  <xdr:twoCellAnchor editAs="oneCell">
    <xdr:from>
      <xdr:col>12</xdr:col>
      <xdr:colOff>137584</xdr:colOff>
      <xdr:row>0</xdr:row>
      <xdr:rowOff>0</xdr:rowOff>
    </xdr:from>
    <xdr:to>
      <xdr:col>14</xdr:col>
      <xdr:colOff>555587</xdr:colOff>
      <xdr:row>3</xdr:row>
      <xdr:rowOff>10583</xdr:rowOff>
    </xdr:to>
    <xdr:pic>
      <xdr:nvPicPr>
        <xdr:cNvPr id="2" name="Picture 1">
          <a:extLst>
            <a:ext uri="{FF2B5EF4-FFF2-40B4-BE49-F238E27FC236}">
              <a16:creationId xmlns:a16="http://schemas.microsoft.com/office/drawing/2014/main" id="{00000000-0008-0000-3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43584" y="0"/>
          <a:ext cx="1637203" cy="858308"/>
        </a:xfrm>
        <a:prstGeom prst="rect">
          <a:avLst/>
        </a:prstGeom>
      </xdr:spPr>
    </xdr:pic>
    <xdr:clientData/>
  </xdr:twoCellAnchor>
  <xdr:twoCellAnchor>
    <xdr:from>
      <xdr:col>0</xdr:col>
      <xdr:colOff>317500</xdr:colOff>
      <xdr:row>7</xdr:row>
      <xdr:rowOff>21167</xdr:rowOff>
    </xdr:from>
    <xdr:to>
      <xdr:col>0</xdr:col>
      <xdr:colOff>497417</xdr:colOff>
      <xdr:row>8</xdr:row>
      <xdr:rowOff>31750</xdr:rowOff>
    </xdr:to>
    <xdr:cxnSp macro="">
      <xdr:nvCxnSpPr>
        <xdr:cNvPr id="5" name="Straight Arrow Connector 4">
          <a:extLst>
            <a:ext uri="{FF2B5EF4-FFF2-40B4-BE49-F238E27FC236}">
              <a16:creationId xmlns:a16="http://schemas.microsoft.com/office/drawing/2014/main" id="{00000000-0008-0000-3500-000005000000}"/>
            </a:ext>
          </a:extLst>
        </xdr:cNvPr>
        <xdr:cNvCxnSpPr/>
      </xdr:nvCxnSpPr>
      <xdr:spPr>
        <a:xfrm flipH="1">
          <a:off x="317500" y="1703917"/>
          <a:ext cx="179917" cy="201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296333</xdr:colOff>
      <xdr:row>7</xdr:row>
      <xdr:rowOff>10583</xdr:rowOff>
    </xdr:from>
    <xdr:to>
      <xdr:col>1</xdr:col>
      <xdr:colOff>10582</xdr:colOff>
      <xdr:row>11</xdr:row>
      <xdr:rowOff>95250</xdr:rowOff>
    </xdr:to>
    <xdr:cxnSp macro="">
      <xdr:nvCxnSpPr>
        <xdr:cNvPr id="7" name="Straight Arrow Connector 6">
          <a:extLst>
            <a:ext uri="{FF2B5EF4-FFF2-40B4-BE49-F238E27FC236}">
              <a16:creationId xmlns:a16="http://schemas.microsoft.com/office/drawing/2014/main" id="{00000000-0008-0000-3500-000007000000}"/>
            </a:ext>
          </a:extLst>
        </xdr:cNvPr>
        <xdr:cNvCxnSpPr/>
      </xdr:nvCxnSpPr>
      <xdr:spPr>
        <a:xfrm flipH="1">
          <a:off x="296333" y="1693333"/>
          <a:ext cx="571499" cy="8466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201083</xdr:colOff>
      <xdr:row>7</xdr:row>
      <xdr:rowOff>4233</xdr:rowOff>
    </xdr:from>
    <xdr:to>
      <xdr:col>1</xdr:col>
      <xdr:colOff>311150</xdr:colOff>
      <xdr:row>14</xdr:row>
      <xdr:rowOff>63500</xdr:rowOff>
    </xdr:to>
    <xdr:cxnSp macro="">
      <xdr:nvCxnSpPr>
        <xdr:cNvPr id="9" name="Straight Arrow Connector 8">
          <a:extLst>
            <a:ext uri="{FF2B5EF4-FFF2-40B4-BE49-F238E27FC236}">
              <a16:creationId xmlns:a16="http://schemas.microsoft.com/office/drawing/2014/main" id="{00000000-0008-0000-3500-000009000000}"/>
            </a:ext>
          </a:extLst>
        </xdr:cNvPr>
        <xdr:cNvCxnSpPr/>
      </xdr:nvCxnSpPr>
      <xdr:spPr>
        <a:xfrm flipH="1">
          <a:off x="201083" y="1686983"/>
          <a:ext cx="967317" cy="13927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179917</xdr:colOff>
      <xdr:row>7</xdr:row>
      <xdr:rowOff>21166</xdr:rowOff>
    </xdr:from>
    <xdr:to>
      <xdr:col>1</xdr:col>
      <xdr:colOff>776818</xdr:colOff>
      <xdr:row>16</xdr:row>
      <xdr:rowOff>179917</xdr:rowOff>
    </xdr:to>
    <xdr:cxnSp macro="">
      <xdr:nvCxnSpPr>
        <xdr:cNvPr id="11" name="Straight Arrow Connector 10">
          <a:extLst>
            <a:ext uri="{FF2B5EF4-FFF2-40B4-BE49-F238E27FC236}">
              <a16:creationId xmlns:a16="http://schemas.microsoft.com/office/drawing/2014/main" id="{00000000-0008-0000-3500-00000B000000}"/>
            </a:ext>
          </a:extLst>
        </xdr:cNvPr>
        <xdr:cNvCxnSpPr/>
      </xdr:nvCxnSpPr>
      <xdr:spPr>
        <a:xfrm flipH="1">
          <a:off x="179917" y="1703916"/>
          <a:ext cx="1454151" cy="187325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317500</xdr:colOff>
      <xdr:row>35</xdr:row>
      <xdr:rowOff>21167</xdr:rowOff>
    </xdr:from>
    <xdr:to>
      <xdr:col>0</xdr:col>
      <xdr:colOff>497417</xdr:colOff>
      <xdr:row>36</xdr:row>
      <xdr:rowOff>31750</xdr:rowOff>
    </xdr:to>
    <xdr:cxnSp macro="">
      <xdr:nvCxnSpPr>
        <xdr:cNvPr id="14" name="Straight Arrow Connector 13">
          <a:extLst>
            <a:ext uri="{FF2B5EF4-FFF2-40B4-BE49-F238E27FC236}">
              <a16:creationId xmlns:a16="http://schemas.microsoft.com/office/drawing/2014/main" id="{00000000-0008-0000-3500-00000E000000}"/>
            </a:ext>
          </a:extLst>
        </xdr:cNvPr>
        <xdr:cNvCxnSpPr/>
      </xdr:nvCxnSpPr>
      <xdr:spPr>
        <a:xfrm flipH="1">
          <a:off x="317500" y="1703917"/>
          <a:ext cx="179917" cy="201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296333</xdr:colOff>
      <xdr:row>35</xdr:row>
      <xdr:rowOff>10583</xdr:rowOff>
    </xdr:from>
    <xdr:to>
      <xdr:col>1</xdr:col>
      <xdr:colOff>10582</xdr:colOff>
      <xdr:row>39</xdr:row>
      <xdr:rowOff>95250</xdr:rowOff>
    </xdr:to>
    <xdr:cxnSp macro="">
      <xdr:nvCxnSpPr>
        <xdr:cNvPr id="15" name="Straight Arrow Connector 14">
          <a:extLst>
            <a:ext uri="{FF2B5EF4-FFF2-40B4-BE49-F238E27FC236}">
              <a16:creationId xmlns:a16="http://schemas.microsoft.com/office/drawing/2014/main" id="{00000000-0008-0000-3500-00000F000000}"/>
            </a:ext>
          </a:extLst>
        </xdr:cNvPr>
        <xdr:cNvCxnSpPr/>
      </xdr:nvCxnSpPr>
      <xdr:spPr>
        <a:xfrm flipH="1">
          <a:off x="296333" y="1693333"/>
          <a:ext cx="571499" cy="8466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201083</xdr:colOff>
      <xdr:row>35</xdr:row>
      <xdr:rowOff>4233</xdr:rowOff>
    </xdr:from>
    <xdr:to>
      <xdr:col>1</xdr:col>
      <xdr:colOff>311150</xdr:colOff>
      <xdr:row>42</xdr:row>
      <xdr:rowOff>63500</xdr:rowOff>
    </xdr:to>
    <xdr:cxnSp macro="">
      <xdr:nvCxnSpPr>
        <xdr:cNvPr id="16" name="Straight Arrow Connector 15">
          <a:extLst>
            <a:ext uri="{FF2B5EF4-FFF2-40B4-BE49-F238E27FC236}">
              <a16:creationId xmlns:a16="http://schemas.microsoft.com/office/drawing/2014/main" id="{00000000-0008-0000-3500-000010000000}"/>
            </a:ext>
          </a:extLst>
        </xdr:cNvPr>
        <xdr:cNvCxnSpPr/>
      </xdr:nvCxnSpPr>
      <xdr:spPr>
        <a:xfrm flipH="1">
          <a:off x="201083" y="1686983"/>
          <a:ext cx="967317" cy="13927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179917</xdr:colOff>
      <xdr:row>35</xdr:row>
      <xdr:rowOff>21166</xdr:rowOff>
    </xdr:from>
    <xdr:to>
      <xdr:col>1</xdr:col>
      <xdr:colOff>776818</xdr:colOff>
      <xdr:row>44</xdr:row>
      <xdr:rowOff>179917</xdr:rowOff>
    </xdr:to>
    <xdr:cxnSp macro="">
      <xdr:nvCxnSpPr>
        <xdr:cNvPr id="17" name="Straight Arrow Connector 16">
          <a:extLst>
            <a:ext uri="{FF2B5EF4-FFF2-40B4-BE49-F238E27FC236}">
              <a16:creationId xmlns:a16="http://schemas.microsoft.com/office/drawing/2014/main" id="{00000000-0008-0000-3500-000011000000}"/>
            </a:ext>
          </a:extLst>
        </xdr:cNvPr>
        <xdr:cNvCxnSpPr/>
      </xdr:nvCxnSpPr>
      <xdr:spPr>
        <a:xfrm flipH="1">
          <a:off x="179917" y="1703916"/>
          <a:ext cx="1454151" cy="187325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317500</xdr:colOff>
      <xdr:row>61</xdr:row>
      <xdr:rowOff>21167</xdr:rowOff>
    </xdr:from>
    <xdr:to>
      <xdr:col>0</xdr:col>
      <xdr:colOff>497417</xdr:colOff>
      <xdr:row>62</xdr:row>
      <xdr:rowOff>31750</xdr:rowOff>
    </xdr:to>
    <xdr:cxnSp macro="">
      <xdr:nvCxnSpPr>
        <xdr:cNvPr id="18" name="Straight Arrow Connector 17">
          <a:extLst>
            <a:ext uri="{FF2B5EF4-FFF2-40B4-BE49-F238E27FC236}">
              <a16:creationId xmlns:a16="http://schemas.microsoft.com/office/drawing/2014/main" id="{00000000-0008-0000-3500-000012000000}"/>
            </a:ext>
          </a:extLst>
        </xdr:cNvPr>
        <xdr:cNvCxnSpPr/>
      </xdr:nvCxnSpPr>
      <xdr:spPr>
        <a:xfrm flipH="1">
          <a:off x="317500" y="7154334"/>
          <a:ext cx="179917" cy="201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296333</xdr:colOff>
      <xdr:row>61</xdr:row>
      <xdr:rowOff>10583</xdr:rowOff>
    </xdr:from>
    <xdr:to>
      <xdr:col>1</xdr:col>
      <xdr:colOff>10582</xdr:colOff>
      <xdr:row>65</xdr:row>
      <xdr:rowOff>95250</xdr:rowOff>
    </xdr:to>
    <xdr:cxnSp macro="">
      <xdr:nvCxnSpPr>
        <xdr:cNvPr id="19" name="Straight Arrow Connector 18">
          <a:extLst>
            <a:ext uri="{FF2B5EF4-FFF2-40B4-BE49-F238E27FC236}">
              <a16:creationId xmlns:a16="http://schemas.microsoft.com/office/drawing/2014/main" id="{00000000-0008-0000-3500-000013000000}"/>
            </a:ext>
          </a:extLst>
        </xdr:cNvPr>
        <xdr:cNvCxnSpPr/>
      </xdr:nvCxnSpPr>
      <xdr:spPr>
        <a:xfrm flipH="1">
          <a:off x="296333" y="7143750"/>
          <a:ext cx="571499" cy="8466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201083</xdr:colOff>
      <xdr:row>61</xdr:row>
      <xdr:rowOff>4233</xdr:rowOff>
    </xdr:from>
    <xdr:to>
      <xdr:col>1</xdr:col>
      <xdr:colOff>311150</xdr:colOff>
      <xdr:row>68</xdr:row>
      <xdr:rowOff>63500</xdr:rowOff>
    </xdr:to>
    <xdr:cxnSp macro="">
      <xdr:nvCxnSpPr>
        <xdr:cNvPr id="20" name="Straight Arrow Connector 19">
          <a:extLst>
            <a:ext uri="{FF2B5EF4-FFF2-40B4-BE49-F238E27FC236}">
              <a16:creationId xmlns:a16="http://schemas.microsoft.com/office/drawing/2014/main" id="{00000000-0008-0000-3500-000014000000}"/>
            </a:ext>
          </a:extLst>
        </xdr:cNvPr>
        <xdr:cNvCxnSpPr/>
      </xdr:nvCxnSpPr>
      <xdr:spPr>
        <a:xfrm flipH="1">
          <a:off x="201083" y="7137400"/>
          <a:ext cx="967317" cy="13927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179917</xdr:colOff>
      <xdr:row>61</xdr:row>
      <xdr:rowOff>21166</xdr:rowOff>
    </xdr:from>
    <xdr:to>
      <xdr:col>1</xdr:col>
      <xdr:colOff>776818</xdr:colOff>
      <xdr:row>70</xdr:row>
      <xdr:rowOff>179917</xdr:rowOff>
    </xdr:to>
    <xdr:cxnSp macro="">
      <xdr:nvCxnSpPr>
        <xdr:cNvPr id="21" name="Straight Arrow Connector 20">
          <a:extLst>
            <a:ext uri="{FF2B5EF4-FFF2-40B4-BE49-F238E27FC236}">
              <a16:creationId xmlns:a16="http://schemas.microsoft.com/office/drawing/2014/main" id="{00000000-0008-0000-3500-000015000000}"/>
            </a:ext>
          </a:extLst>
        </xdr:cNvPr>
        <xdr:cNvCxnSpPr/>
      </xdr:nvCxnSpPr>
      <xdr:spPr>
        <a:xfrm flipH="1">
          <a:off x="179917" y="7154333"/>
          <a:ext cx="1454151" cy="187325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317500</xdr:colOff>
      <xdr:row>87</xdr:row>
      <xdr:rowOff>21167</xdr:rowOff>
    </xdr:from>
    <xdr:to>
      <xdr:col>0</xdr:col>
      <xdr:colOff>497417</xdr:colOff>
      <xdr:row>88</xdr:row>
      <xdr:rowOff>31750</xdr:rowOff>
    </xdr:to>
    <xdr:cxnSp macro="">
      <xdr:nvCxnSpPr>
        <xdr:cNvPr id="22" name="Straight Arrow Connector 21">
          <a:extLst>
            <a:ext uri="{FF2B5EF4-FFF2-40B4-BE49-F238E27FC236}">
              <a16:creationId xmlns:a16="http://schemas.microsoft.com/office/drawing/2014/main" id="{00000000-0008-0000-3500-000016000000}"/>
            </a:ext>
          </a:extLst>
        </xdr:cNvPr>
        <xdr:cNvCxnSpPr/>
      </xdr:nvCxnSpPr>
      <xdr:spPr>
        <a:xfrm flipH="1">
          <a:off x="317500" y="12223750"/>
          <a:ext cx="179917" cy="201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296333</xdr:colOff>
      <xdr:row>87</xdr:row>
      <xdr:rowOff>10583</xdr:rowOff>
    </xdr:from>
    <xdr:to>
      <xdr:col>1</xdr:col>
      <xdr:colOff>10582</xdr:colOff>
      <xdr:row>91</xdr:row>
      <xdr:rowOff>95250</xdr:rowOff>
    </xdr:to>
    <xdr:cxnSp macro="">
      <xdr:nvCxnSpPr>
        <xdr:cNvPr id="23" name="Straight Arrow Connector 22">
          <a:extLst>
            <a:ext uri="{FF2B5EF4-FFF2-40B4-BE49-F238E27FC236}">
              <a16:creationId xmlns:a16="http://schemas.microsoft.com/office/drawing/2014/main" id="{00000000-0008-0000-3500-000017000000}"/>
            </a:ext>
          </a:extLst>
        </xdr:cNvPr>
        <xdr:cNvCxnSpPr/>
      </xdr:nvCxnSpPr>
      <xdr:spPr>
        <a:xfrm flipH="1">
          <a:off x="296333" y="12213166"/>
          <a:ext cx="571499" cy="8466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201083</xdr:colOff>
      <xdr:row>87</xdr:row>
      <xdr:rowOff>4233</xdr:rowOff>
    </xdr:from>
    <xdr:to>
      <xdr:col>1</xdr:col>
      <xdr:colOff>311150</xdr:colOff>
      <xdr:row>94</xdr:row>
      <xdr:rowOff>63500</xdr:rowOff>
    </xdr:to>
    <xdr:cxnSp macro="">
      <xdr:nvCxnSpPr>
        <xdr:cNvPr id="24" name="Straight Arrow Connector 23">
          <a:extLst>
            <a:ext uri="{FF2B5EF4-FFF2-40B4-BE49-F238E27FC236}">
              <a16:creationId xmlns:a16="http://schemas.microsoft.com/office/drawing/2014/main" id="{00000000-0008-0000-3500-000018000000}"/>
            </a:ext>
          </a:extLst>
        </xdr:cNvPr>
        <xdr:cNvCxnSpPr/>
      </xdr:nvCxnSpPr>
      <xdr:spPr>
        <a:xfrm flipH="1">
          <a:off x="201083" y="12206816"/>
          <a:ext cx="967317" cy="13927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179917</xdr:colOff>
      <xdr:row>87</xdr:row>
      <xdr:rowOff>21166</xdr:rowOff>
    </xdr:from>
    <xdr:to>
      <xdr:col>1</xdr:col>
      <xdr:colOff>776818</xdr:colOff>
      <xdr:row>96</xdr:row>
      <xdr:rowOff>179917</xdr:rowOff>
    </xdr:to>
    <xdr:cxnSp macro="">
      <xdr:nvCxnSpPr>
        <xdr:cNvPr id="25" name="Straight Arrow Connector 24">
          <a:extLst>
            <a:ext uri="{FF2B5EF4-FFF2-40B4-BE49-F238E27FC236}">
              <a16:creationId xmlns:a16="http://schemas.microsoft.com/office/drawing/2014/main" id="{00000000-0008-0000-3500-000019000000}"/>
            </a:ext>
          </a:extLst>
        </xdr:cNvPr>
        <xdr:cNvCxnSpPr/>
      </xdr:nvCxnSpPr>
      <xdr:spPr>
        <a:xfrm flipH="1">
          <a:off x="179917" y="12223749"/>
          <a:ext cx="1454151" cy="187325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3.xml><?xml version="1.0" encoding="utf-8"?>
<xdr:wsDr xmlns:xdr="http://schemas.openxmlformats.org/drawingml/2006/spreadsheetDrawing" xmlns:a="http://schemas.openxmlformats.org/drawingml/2006/main">
  <xdr:twoCellAnchor editAs="oneCell">
    <xdr:from>
      <xdr:col>11</xdr:col>
      <xdr:colOff>533400</xdr:colOff>
      <xdr:row>0</xdr:row>
      <xdr:rowOff>180975</xdr:rowOff>
    </xdr:from>
    <xdr:to>
      <xdr:col>15</xdr:col>
      <xdr:colOff>571500</xdr:colOff>
      <xdr:row>10</xdr:row>
      <xdr:rowOff>19050</xdr:rowOff>
    </xdr:to>
    <xdr:pic>
      <xdr:nvPicPr>
        <xdr:cNvPr id="2" name="Picture 3" descr="An example of the Vlookup function">
          <a:extLst>
            <a:ext uri="{FF2B5EF4-FFF2-40B4-BE49-F238E27FC236}">
              <a16:creationId xmlns:a16="http://schemas.microsoft.com/office/drawing/2014/main" id="{00000000-0008-0000-3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72275" y="180975"/>
          <a:ext cx="4029075"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533400</xdr:colOff>
      <xdr:row>12</xdr:row>
      <xdr:rowOff>9525</xdr:rowOff>
    </xdr:from>
    <xdr:to>
      <xdr:col>15</xdr:col>
      <xdr:colOff>571500</xdr:colOff>
      <xdr:row>26</xdr:row>
      <xdr:rowOff>57150</xdr:rowOff>
    </xdr:to>
    <xdr:pic>
      <xdr:nvPicPr>
        <xdr:cNvPr id="3" name="Picture 4" descr="Entering the arguments">
          <a:extLst>
            <a:ext uri="{FF2B5EF4-FFF2-40B4-BE49-F238E27FC236}">
              <a16:creationId xmlns:a16="http://schemas.microsoft.com/office/drawing/2014/main" id="{00000000-0008-0000-37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72275" y="2038350"/>
          <a:ext cx="4029075" cy="2333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1</xdr:col>
      <xdr:colOff>38100</xdr:colOff>
      <xdr:row>1</xdr:row>
      <xdr:rowOff>66675</xdr:rowOff>
    </xdr:from>
    <xdr:to>
      <xdr:col>7</xdr:col>
      <xdr:colOff>409575</xdr:colOff>
      <xdr:row>8</xdr:row>
      <xdr:rowOff>76200</xdr:rowOff>
    </xdr:to>
    <xdr:pic>
      <xdr:nvPicPr>
        <xdr:cNvPr id="2" name="Picture 1" descr="Hlookup example">
          <a:extLst>
            <a:ext uri="{FF2B5EF4-FFF2-40B4-BE49-F238E27FC236}">
              <a16:creationId xmlns:a16="http://schemas.microsoft.com/office/drawing/2014/main" id="{00000000-0008-0000-3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2425" y="304800"/>
          <a:ext cx="4029075"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571500</xdr:colOff>
      <xdr:row>10</xdr:row>
      <xdr:rowOff>266700</xdr:rowOff>
    </xdr:from>
    <xdr:to>
      <xdr:col>7</xdr:col>
      <xdr:colOff>371475</xdr:colOff>
      <xdr:row>25</xdr:row>
      <xdr:rowOff>47625</xdr:rowOff>
    </xdr:to>
    <xdr:pic>
      <xdr:nvPicPr>
        <xdr:cNvPr id="3" name="Picture 2" descr="Writing the formula arguments">
          <a:extLst>
            <a:ext uri="{FF2B5EF4-FFF2-40B4-BE49-F238E27FC236}">
              <a16:creationId xmlns:a16="http://schemas.microsoft.com/office/drawing/2014/main" id="{00000000-0008-0000-3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4325" y="1971675"/>
          <a:ext cx="4029075" cy="285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592667</xdr:colOff>
      <xdr:row>7</xdr:row>
      <xdr:rowOff>169333</xdr:rowOff>
    </xdr:from>
    <xdr:to>
      <xdr:col>1</xdr:col>
      <xdr:colOff>762000</xdr:colOff>
      <xdr:row>12</xdr:row>
      <xdr:rowOff>31750</xdr:rowOff>
    </xdr:to>
    <xdr:cxnSp macro="">
      <xdr:nvCxnSpPr>
        <xdr:cNvPr id="2" name="Straight Arrow Connector 1">
          <a:extLst>
            <a:ext uri="{FF2B5EF4-FFF2-40B4-BE49-F238E27FC236}">
              <a16:creationId xmlns:a16="http://schemas.microsoft.com/office/drawing/2014/main" id="{00000000-0008-0000-0500-000002000000}"/>
            </a:ext>
          </a:extLst>
        </xdr:cNvPr>
        <xdr:cNvCxnSpPr/>
      </xdr:nvCxnSpPr>
      <xdr:spPr>
        <a:xfrm flipH="1">
          <a:off x="592667" y="1826683"/>
          <a:ext cx="902758" cy="8339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76884" y="0"/>
          <a:ext cx="1637202" cy="858308"/>
        </a:xfrm>
        <a:prstGeom prst="rect">
          <a:avLst/>
        </a:prstGeom>
      </xdr:spPr>
    </xdr:pic>
    <xdr:clientData/>
  </xdr:twoCellAnchor>
  <xdr:twoCellAnchor>
    <xdr:from>
      <xdr:col>0</xdr:col>
      <xdr:colOff>433919</xdr:colOff>
      <xdr:row>8</xdr:row>
      <xdr:rowOff>42333</xdr:rowOff>
    </xdr:from>
    <xdr:to>
      <xdr:col>0</xdr:col>
      <xdr:colOff>624417</xdr:colOff>
      <xdr:row>9</xdr:row>
      <xdr:rowOff>74083</xdr:rowOff>
    </xdr:to>
    <xdr:cxnSp macro="">
      <xdr:nvCxnSpPr>
        <xdr:cNvPr id="4" name="Straight Arrow Connector 3">
          <a:extLst>
            <a:ext uri="{FF2B5EF4-FFF2-40B4-BE49-F238E27FC236}">
              <a16:creationId xmlns:a16="http://schemas.microsoft.com/office/drawing/2014/main" id="{00000000-0008-0000-0500-000004000000}"/>
            </a:ext>
          </a:extLst>
        </xdr:cNvPr>
        <xdr:cNvCxnSpPr/>
      </xdr:nvCxnSpPr>
      <xdr:spPr>
        <a:xfrm flipH="1">
          <a:off x="433919" y="1915583"/>
          <a:ext cx="190498" cy="2222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709084</xdr:colOff>
      <xdr:row>18</xdr:row>
      <xdr:rowOff>95250</xdr:rowOff>
    </xdr:from>
    <xdr:to>
      <xdr:col>5</xdr:col>
      <xdr:colOff>592667</xdr:colOff>
      <xdr:row>18</xdr:row>
      <xdr:rowOff>105833</xdr:rowOff>
    </xdr:to>
    <xdr:cxnSp macro="">
      <xdr:nvCxnSpPr>
        <xdr:cNvPr id="5" name="Straight Arrow Connector 4">
          <a:extLst>
            <a:ext uri="{FF2B5EF4-FFF2-40B4-BE49-F238E27FC236}">
              <a16:creationId xmlns:a16="http://schemas.microsoft.com/office/drawing/2014/main" id="{00000000-0008-0000-0500-000005000000}"/>
            </a:ext>
          </a:extLst>
        </xdr:cNvPr>
        <xdr:cNvCxnSpPr/>
      </xdr:nvCxnSpPr>
      <xdr:spPr>
        <a:xfrm flipV="1">
          <a:off x="2973917" y="3905250"/>
          <a:ext cx="1968500" cy="1058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243417</xdr:colOff>
      <xdr:row>8</xdr:row>
      <xdr:rowOff>10584</xdr:rowOff>
    </xdr:from>
    <xdr:to>
      <xdr:col>1</xdr:col>
      <xdr:colOff>412750</xdr:colOff>
      <xdr:row>12</xdr:row>
      <xdr:rowOff>74084</xdr:rowOff>
    </xdr:to>
    <xdr:cxnSp macro="">
      <xdr:nvCxnSpPr>
        <xdr:cNvPr id="2" name="Straight Arrow Connector 1">
          <a:extLst>
            <a:ext uri="{FF2B5EF4-FFF2-40B4-BE49-F238E27FC236}">
              <a16:creationId xmlns:a16="http://schemas.microsoft.com/office/drawing/2014/main" id="{00000000-0008-0000-0600-000002000000}"/>
            </a:ext>
          </a:extLst>
        </xdr:cNvPr>
        <xdr:cNvCxnSpPr/>
      </xdr:nvCxnSpPr>
      <xdr:spPr>
        <a:xfrm flipH="1">
          <a:off x="243417" y="1883834"/>
          <a:ext cx="899583" cy="83608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555586</xdr:colOff>
      <xdr:row>3</xdr:row>
      <xdr:rowOff>10583</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19734" y="0"/>
          <a:ext cx="1637202" cy="858308"/>
        </a:xfrm>
        <a:prstGeom prst="rect">
          <a:avLst/>
        </a:prstGeom>
      </xdr:spPr>
    </xdr:pic>
    <xdr:clientData/>
  </xdr:twoCellAnchor>
  <xdr:twoCellAnchor>
    <xdr:from>
      <xdr:col>0</xdr:col>
      <xdr:colOff>433918</xdr:colOff>
      <xdr:row>8</xdr:row>
      <xdr:rowOff>21167</xdr:rowOff>
    </xdr:from>
    <xdr:to>
      <xdr:col>1</xdr:col>
      <xdr:colOff>74083</xdr:colOff>
      <xdr:row>9</xdr:row>
      <xdr:rowOff>74083</xdr:rowOff>
    </xdr:to>
    <xdr:cxnSp macro="">
      <xdr:nvCxnSpPr>
        <xdr:cNvPr id="4" name="Straight Arrow Connector 3">
          <a:extLst>
            <a:ext uri="{FF2B5EF4-FFF2-40B4-BE49-F238E27FC236}">
              <a16:creationId xmlns:a16="http://schemas.microsoft.com/office/drawing/2014/main" id="{00000000-0008-0000-0600-000004000000}"/>
            </a:ext>
          </a:extLst>
        </xdr:cNvPr>
        <xdr:cNvCxnSpPr/>
      </xdr:nvCxnSpPr>
      <xdr:spPr>
        <a:xfrm flipH="1">
          <a:off x="433918" y="1878542"/>
          <a:ext cx="373590" cy="2434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592667</xdr:colOff>
      <xdr:row>6</xdr:row>
      <xdr:rowOff>169333</xdr:rowOff>
    </xdr:from>
    <xdr:to>
      <xdr:col>1</xdr:col>
      <xdr:colOff>762000</xdr:colOff>
      <xdr:row>11</xdr:row>
      <xdr:rowOff>31750</xdr:rowOff>
    </xdr:to>
    <xdr:cxnSp macro="">
      <xdr:nvCxnSpPr>
        <xdr:cNvPr id="2" name="Straight Arrow Connector 1">
          <a:extLst>
            <a:ext uri="{FF2B5EF4-FFF2-40B4-BE49-F238E27FC236}">
              <a16:creationId xmlns:a16="http://schemas.microsoft.com/office/drawing/2014/main" id="{00000000-0008-0000-0700-000002000000}"/>
            </a:ext>
          </a:extLst>
        </xdr:cNvPr>
        <xdr:cNvCxnSpPr/>
      </xdr:nvCxnSpPr>
      <xdr:spPr>
        <a:xfrm flipH="1">
          <a:off x="592667" y="1826683"/>
          <a:ext cx="902758" cy="8339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555587</xdr:colOff>
      <xdr:row>3</xdr:row>
      <xdr:rowOff>10583</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19734" y="0"/>
          <a:ext cx="1637202" cy="858308"/>
        </a:xfrm>
        <a:prstGeom prst="rect">
          <a:avLst/>
        </a:prstGeom>
      </xdr:spPr>
    </xdr:pic>
    <xdr:clientData/>
  </xdr:twoCellAnchor>
  <xdr:twoCellAnchor>
    <xdr:from>
      <xdr:col>0</xdr:col>
      <xdr:colOff>433918</xdr:colOff>
      <xdr:row>7</xdr:row>
      <xdr:rowOff>21167</xdr:rowOff>
    </xdr:from>
    <xdr:to>
      <xdr:col>1</xdr:col>
      <xdr:colOff>74083</xdr:colOff>
      <xdr:row>8</xdr:row>
      <xdr:rowOff>74083</xdr:rowOff>
    </xdr:to>
    <xdr:cxnSp macro="">
      <xdr:nvCxnSpPr>
        <xdr:cNvPr id="4" name="Straight Arrow Connector 3">
          <a:extLst>
            <a:ext uri="{FF2B5EF4-FFF2-40B4-BE49-F238E27FC236}">
              <a16:creationId xmlns:a16="http://schemas.microsoft.com/office/drawing/2014/main" id="{00000000-0008-0000-0700-000004000000}"/>
            </a:ext>
          </a:extLst>
        </xdr:cNvPr>
        <xdr:cNvCxnSpPr/>
      </xdr:nvCxnSpPr>
      <xdr:spPr>
        <a:xfrm flipH="1">
          <a:off x="433918" y="1878542"/>
          <a:ext cx="373590" cy="2434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116417</xdr:colOff>
      <xdr:row>17</xdr:row>
      <xdr:rowOff>21167</xdr:rowOff>
    </xdr:from>
    <xdr:to>
      <xdr:col>4</xdr:col>
      <xdr:colOff>899583</xdr:colOff>
      <xdr:row>24</xdr:row>
      <xdr:rowOff>169333</xdr:rowOff>
    </xdr:to>
    <xdr:sp macro="" textlink="">
      <xdr:nvSpPr>
        <xdr:cNvPr id="5" name="Right Brace 4">
          <a:extLst>
            <a:ext uri="{FF2B5EF4-FFF2-40B4-BE49-F238E27FC236}">
              <a16:creationId xmlns:a16="http://schemas.microsoft.com/office/drawing/2014/main" id="{00000000-0008-0000-0700-000005000000}"/>
            </a:ext>
          </a:extLst>
        </xdr:cNvPr>
        <xdr:cNvSpPr/>
      </xdr:nvSpPr>
      <xdr:spPr>
        <a:xfrm>
          <a:off x="3704167" y="6815667"/>
          <a:ext cx="783166" cy="148166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592667</xdr:colOff>
      <xdr:row>6</xdr:row>
      <xdr:rowOff>169333</xdr:rowOff>
    </xdr:from>
    <xdr:to>
      <xdr:col>1</xdr:col>
      <xdr:colOff>762000</xdr:colOff>
      <xdr:row>10</xdr:row>
      <xdr:rowOff>31750</xdr:rowOff>
    </xdr:to>
    <xdr:cxnSp macro="">
      <xdr:nvCxnSpPr>
        <xdr:cNvPr id="2" name="Straight Arrow Connector 1">
          <a:extLst>
            <a:ext uri="{FF2B5EF4-FFF2-40B4-BE49-F238E27FC236}">
              <a16:creationId xmlns:a16="http://schemas.microsoft.com/office/drawing/2014/main" id="{00000000-0008-0000-0800-000002000000}"/>
            </a:ext>
          </a:extLst>
        </xdr:cNvPr>
        <xdr:cNvCxnSpPr/>
      </xdr:nvCxnSpPr>
      <xdr:spPr>
        <a:xfrm flipH="1">
          <a:off x="592667" y="1636183"/>
          <a:ext cx="836083" cy="10244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31751</xdr:colOff>
      <xdr:row>7</xdr:row>
      <xdr:rowOff>21167</xdr:rowOff>
    </xdr:from>
    <xdr:to>
      <xdr:col>2</xdr:col>
      <xdr:colOff>359834</xdr:colOff>
      <xdr:row>13</xdr:row>
      <xdr:rowOff>52916</xdr:rowOff>
    </xdr:to>
    <xdr:cxnSp macro="">
      <xdr:nvCxnSpPr>
        <xdr:cNvPr id="3" name="Straight Arrow Connector 2">
          <a:extLst>
            <a:ext uri="{FF2B5EF4-FFF2-40B4-BE49-F238E27FC236}">
              <a16:creationId xmlns:a16="http://schemas.microsoft.com/office/drawing/2014/main" id="{00000000-0008-0000-0800-000003000000}"/>
            </a:ext>
          </a:extLst>
        </xdr:cNvPr>
        <xdr:cNvCxnSpPr/>
      </xdr:nvCxnSpPr>
      <xdr:spPr>
        <a:xfrm flipH="1">
          <a:off x="698501" y="1703917"/>
          <a:ext cx="1100666" cy="11959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137584</xdr:colOff>
      <xdr:row>0</xdr:row>
      <xdr:rowOff>0</xdr:rowOff>
    </xdr:from>
    <xdr:to>
      <xdr:col>15</xdr:col>
      <xdr:colOff>555587</xdr:colOff>
      <xdr:row>3</xdr:row>
      <xdr:rowOff>10583</xdr:rowOff>
    </xdr:to>
    <xdr:pic>
      <xdr:nvPicPr>
        <xdr:cNvPr id="4" name="Pictur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24384" y="0"/>
          <a:ext cx="1637203" cy="858308"/>
        </a:xfrm>
        <a:prstGeom prst="rect">
          <a:avLst/>
        </a:prstGeom>
      </xdr:spPr>
    </xdr:pic>
    <xdr:clientData/>
  </xdr:twoCellAnchor>
  <xdr:twoCellAnchor>
    <xdr:from>
      <xdr:col>7</xdr:col>
      <xdr:colOff>169332</xdr:colOff>
      <xdr:row>23</xdr:row>
      <xdr:rowOff>63500</xdr:rowOff>
    </xdr:from>
    <xdr:to>
      <xdr:col>7</xdr:col>
      <xdr:colOff>507999</xdr:colOff>
      <xdr:row>25</xdr:row>
      <xdr:rowOff>158750</xdr:rowOff>
    </xdr:to>
    <xdr:sp macro="" textlink="">
      <xdr:nvSpPr>
        <xdr:cNvPr id="5" name="Right Brace 4">
          <a:extLst>
            <a:ext uri="{FF2B5EF4-FFF2-40B4-BE49-F238E27FC236}">
              <a16:creationId xmlns:a16="http://schemas.microsoft.com/office/drawing/2014/main" id="{00000000-0008-0000-0800-000005000000}"/>
            </a:ext>
          </a:extLst>
        </xdr:cNvPr>
        <xdr:cNvSpPr/>
      </xdr:nvSpPr>
      <xdr:spPr>
        <a:xfrm>
          <a:off x="5238749" y="4836583"/>
          <a:ext cx="338667" cy="4762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nny/Downloads/Excel%20Heaven%20(Function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lcome"/>
      <sheetName val="Documentation"/>
      <sheetName val="Instructions"/>
      <sheetName val="Analysis ToolPak"/>
      <sheetName val="FunctionList"/>
      <sheetName val=" Time Calculation"/>
      <sheetName val=" TimeSheet For Flexi"/>
      <sheetName val=" Split ForenameSurname"/>
      <sheetName val=" Percentages"/>
      <sheetName val=" Show all formula"/>
      <sheetName val="SUM_using_names"/>
      <sheetName val=" Instant Charts"/>
      <sheetName val=" Filename formula"/>
      <sheetName val=" Brackets in formula"/>
      <sheetName val=" Age Calculation"/>
      <sheetName val=" AutoSum Shortcut Key"/>
      <sheetName val="ABS"/>
      <sheetName val="ADDRESS"/>
      <sheetName val="AND"/>
      <sheetName val="AREAS"/>
      <sheetName val="AVERAGE"/>
      <sheetName val="BIN2DEC"/>
      <sheetName val="CEILING"/>
      <sheetName val="CELL"/>
      <sheetName val="CHAR"/>
      <sheetName val="CHOOSE"/>
      <sheetName val="CLEAN"/>
      <sheetName val="CODE"/>
      <sheetName val="COMBIN"/>
      <sheetName val="CONCATENATE"/>
      <sheetName val="CONVERT"/>
      <sheetName val="CORREL"/>
      <sheetName val="COUNT"/>
      <sheetName val="COUNTA"/>
      <sheetName val="COUNTBLANK"/>
      <sheetName val="COUNTIF"/>
      <sheetName val="DATE"/>
      <sheetName val="DATEDIF"/>
      <sheetName val="DATEVALUE"/>
      <sheetName val="DAVERAGE"/>
      <sheetName val="DAY"/>
      <sheetName val="DAYS360"/>
      <sheetName val="DB"/>
      <sheetName val="DCOUNT"/>
      <sheetName val="DCOUNTA"/>
      <sheetName val="DEC2BIN"/>
      <sheetName val="DEC2HEX"/>
      <sheetName val="DELTA"/>
      <sheetName val="DGET"/>
      <sheetName val="DMAX"/>
      <sheetName val="DMIN"/>
      <sheetName val="DOLLAR"/>
      <sheetName val="DSUM"/>
      <sheetName val="EAST"/>
      <sheetName val="EDATE"/>
      <sheetName val="EOMONTH"/>
      <sheetName val="ERROR.TYPE"/>
      <sheetName val="EVEN"/>
      <sheetName val="EXACT"/>
      <sheetName val="FACT"/>
      <sheetName val="FIND"/>
      <sheetName val="FIXED"/>
      <sheetName val="FLOOR"/>
      <sheetName val="FORECAST"/>
      <sheetName val="FREQUENCY"/>
      <sheetName val="FREQUENCY 2"/>
      <sheetName val="GCD"/>
      <sheetName val="GESTEP"/>
      <sheetName val="HEX2DEC"/>
      <sheetName val="HLOOKUP"/>
      <sheetName val="HOUR"/>
      <sheetName val="IF"/>
      <sheetName val="INDEX"/>
      <sheetName val="INDIRECT"/>
      <sheetName val="INFO"/>
      <sheetName val="INT"/>
      <sheetName val="ISBLANK"/>
      <sheetName val="ISERR"/>
      <sheetName val="ISERROR"/>
      <sheetName val="ISEVEN"/>
      <sheetName val="ISLOGICAL"/>
      <sheetName val="ISNA"/>
      <sheetName val="ISNONTEXT"/>
      <sheetName val="ISNUMBER"/>
      <sheetName val="ISODD"/>
      <sheetName val="ISREF"/>
      <sheetName val="ISTEXT"/>
      <sheetName val="LARGE"/>
      <sheetName val="LCM"/>
      <sheetName val="LEFT"/>
      <sheetName val="LEN"/>
      <sheetName val="LOOKUP (Array)"/>
      <sheetName val="LOOKUP (Vector)"/>
      <sheetName val="LOWER"/>
      <sheetName val="MATCH"/>
      <sheetName val="MAX"/>
      <sheetName val="MEDIAN"/>
      <sheetName val="MID"/>
      <sheetName val="MIN"/>
      <sheetName val="MINUTE"/>
      <sheetName val="MMULT"/>
      <sheetName val="MOD"/>
      <sheetName val="MODE"/>
      <sheetName val="MONTH"/>
      <sheetName val="MROUND"/>
      <sheetName val="N"/>
      <sheetName val="NA"/>
      <sheetName val="NETWORKDAYS"/>
      <sheetName val="NORTH"/>
      <sheetName val="NOT"/>
      <sheetName val="NOW"/>
      <sheetName val="ODD"/>
      <sheetName val="OR"/>
      <sheetName val=" Ordering Stock"/>
      <sheetName val="PACKERS"/>
      <sheetName val="PERMUT"/>
      <sheetName val="PI"/>
      <sheetName val="POWER"/>
      <sheetName val="PRODUCT"/>
      <sheetName val="PROPER"/>
      <sheetName val="QUARTILE"/>
      <sheetName val="QUOTIENT"/>
      <sheetName val="RAND"/>
      <sheetName val="RANDBETWEEN"/>
      <sheetName val="RANK"/>
      <sheetName val="REPLACE"/>
      <sheetName val="REPT"/>
      <sheetName val="RIGHT"/>
      <sheetName val="ROMAN"/>
      <sheetName val="ROUND"/>
      <sheetName val="ROUNDDOWN"/>
      <sheetName val="ROUNDUP"/>
      <sheetName val="SECOND"/>
      <sheetName val="SIGN"/>
      <sheetName val="SLN"/>
      <sheetName val="SMALL"/>
      <sheetName val="SOUTH"/>
      <sheetName val="STDEV"/>
      <sheetName val="STDEVP"/>
      <sheetName val="SUBSTITUTE"/>
      <sheetName val="SUM"/>
      <sheetName val="SUM_as_Running_Total"/>
      <sheetName val="SUM_with_OFFSET"/>
      <sheetName val="SUMIF"/>
      <sheetName val="SUMPRODUCT"/>
      <sheetName val="SYD"/>
      <sheetName val="T"/>
      <sheetName val="TEXT"/>
      <sheetName val="TIME"/>
      <sheetName val="TIMEVALUE"/>
      <sheetName val="TODAY"/>
      <sheetName val="TRANSPOSE"/>
      <sheetName val="TREND"/>
      <sheetName val="TRIM"/>
      <sheetName val="TRUNC"/>
      <sheetName val="UPPER"/>
      <sheetName val="VALUE"/>
      <sheetName val="VAR"/>
      <sheetName val="VARP"/>
      <sheetName val="VLOOKUP"/>
      <sheetName val="WEEKDAY"/>
      <sheetName val="WORKDAY"/>
      <sheetName val="YEAR"/>
      <sheetName val="YEARFRAC"/>
      <sheetName val=" Project Dates"/>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3">
          <cell r="C3" t="str">
            <v>Name</v>
          </cell>
          <cell r="D3" t="str">
            <v>Age</v>
          </cell>
        </row>
        <row r="4">
          <cell r="C4" t="str">
            <v>Alan</v>
          </cell>
          <cell r="D4">
            <v>18</v>
          </cell>
        </row>
        <row r="5">
          <cell r="C5" t="str">
            <v>Bob</v>
          </cell>
          <cell r="D5">
            <v>17</v>
          </cell>
        </row>
        <row r="6">
          <cell r="C6" t="str">
            <v>Carol</v>
          </cell>
          <cell r="D6">
            <v>20</v>
          </cell>
        </row>
        <row r="8">
          <cell r="C8" t="str">
            <v>Name</v>
          </cell>
          <cell r="D8" t="str">
            <v>Age</v>
          </cell>
        </row>
        <row r="9">
          <cell r="C9" t="str">
            <v>David</v>
          </cell>
          <cell r="D9">
            <v>20</v>
          </cell>
        </row>
        <row r="10">
          <cell r="C10" t="str">
            <v>Eric</v>
          </cell>
          <cell r="D10">
            <v>16</v>
          </cell>
        </row>
        <row r="11">
          <cell r="C11" t="str">
            <v>Fred</v>
          </cell>
          <cell r="D11">
            <v>19</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ow r="67">
          <cell r="D67">
            <v>1000</v>
          </cell>
          <cell r="E67">
            <v>2000</v>
          </cell>
          <cell r="F67">
            <v>3000</v>
          </cell>
          <cell r="G67">
            <v>4000</v>
          </cell>
        </row>
        <row r="68">
          <cell r="D68">
            <v>5000</v>
          </cell>
          <cell r="E68">
            <v>6000</v>
          </cell>
          <cell r="F68">
            <v>7000</v>
          </cell>
          <cell r="G68">
            <v>8000</v>
          </cell>
        </row>
        <row r="69">
          <cell r="D69">
            <v>9000</v>
          </cell>
          <cell r="E69">
            <v>10000</v>
          </cell>
          <cell r="F69">
            <v>11000</v>
          </cell>
          <cell r="G69">
            <v>12000</v>
          </cell>
        </row>
        <row r="72">
          <cell r="D72">
            <v>1500</v>
          </cell>
          <cell r="E72">
            <v>2500</v>
          </cell>
          <cell r="F72">
            <v>3500</v>
          </cell>
          <cell r="G72">
            <v>4500</v>
          </cell>
        </row>
        <row r="73">
          <cell r="D73">
            <v>5500</v>
          </cell>
          <cell r="E73">
            <v>6500</v>
          </cell>
          <cell r="F73">
            <v>7500</v>
          </cell>
          <cell r="G73">
            <v>8500</v>
          </cell>
        </row>
        <row r="74">
          <cell r="D74">
            <v>9500</v>
          </cell>
          <cell r="E74">
            <v>10500</v>
          </cell>
          <cell r="F74">
            <v>11500</v>
          </cell>
          <cell r="G74">
            <v>12500</v>
          </cell>
        </row>
        <row r="91">
          <cell r="D91">
            <v>1000</v>
          </cell>
          <cell r="E91">
            <v>2000</v>
          </cell>
          <cell r="F91">
            <v>3000</v>
          </cell>
          <cell r="G91">
            <v>4000</v>
          </cell>
        </row>
        <row r="92">
          <cell r="D92">
            <v>5000</v>
          </cell>
          <cell r="E92">
            <v>6000</v>
          </cell>
          <cell r="F92">
            <v>7000</v>
          </cell>
          <cell r="G92">
            <v>8000</v>
          </cell>
        </row>
        <row r="93">
          <cell r="D93">
            <v>9000</v>
          </cell>
          <cell r="E93">
            <v>10000</v>
          </cell>
          <cell r="F93">
            <v>11000</v>
          </cell>
          <cell r="G93">
            <v>12000</v>
          </cell>
        </row>
        <row r="96">
          <cell r="D96">
            <v>1500</v>
          </cell>
          <cell r="E96">
            <v>2500</v>
          </cell>
          <cell r="F96">
            <v>3500</v>
          </cell>
          <cell r="G96">
            <v>4500</v>
          </cell>
        </row>
        <row r="97">
          <cell r="D97">
            <v>5500</v>
          </cell>
          <cell r="E97">
            <v>6500</v>
          </cell>
          <cell r="F97">
            <v>7500</v>
          </cell>
          <cell r="G97">
            <v>8500</v>
          </cell>
        </row>
        <row r="98">
          <cell r="D98">
            <v>9500</v>
          </cell>
          <cell r="E98">
            <v>10500</v>
          </cell>
          <cell r="F98">
            <v>11500</v>
          </cell>
          <cell r="G98">
            <v>12500</v>
          </cell>
        </row>
      </sheetData>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7"/>
  <sheetViews>
    <sheetView showGridLines="0" topLeftCell="A16" zoomScale="130" zoomScaleNormal="130" workbookViewId="0">
      <selection activeCell="E37" sqref="E37"/>
    </sheetView>
  </sheetViews>
  <sheetFormatPr defaultRowHeight="15"/>
  <cols>
    <col min="1" max="1" width="10" customWidth="1"/>
    <col min="2" max="2" width="11.5703125" bestFit="1" customWidth="1"/>
    <col min="3" max="3" width="14.7109375" customWidth="1"/>
    <col min="9" max="9" width="10.140625" customWidth="1"/>
    <col min="10" max="10" width="12.140625" customWidth="1"/>
    <col min="11" max="11" width="11.28515625" customWidth="1"/>
    <col min="12" max="12" width="10.140625" customWidth="1"/>
  </cols>
  <sheetData>
    <row r="1" spans="1:12" ht="32.25" thickBot="1">
      <c r="A1" s="75" t="s">
        <v>158</v>
      </c>
      <c r="B1" s="76"/>
      <c r="C1" s="76"/>
      <c r="D1" s="76"/>
      <c r="E1" s="76"/>
      <c r="F1" s="76"/>
      <c r="G1" s="76"/>
      <c r="H1" s="76"/>
      <c r="I1" s="76"/>
      <c r="J1" s="76"/>
      <c r="K1" s="76"/>
      <c r="L1" s="76"/>
    </row>
    <row r="2" spans="1:12" ht="15.75" thickTop="1"/>
    <row r="3" spans="1:12" ht="18.75">
      <c r="A3" s="74" t="s">
        <v>203</v>
      </c>
    </row>
    <row r="4" spans="1:12">
      <c r="A4" t="s">
        <v>204</v>
      </c>
    </row>
    <row r="6" spans="1:12" ht="18.75">
      <c r="A6" s="74" t="s">
        <v>24</v>
      </c>
    </row>
    <row r="7" spans="1:12" ht="15.75">
      <c r="A7" s="80" t="s">
        <v>229</v>
      </c>
    </row>
    <row r="9" spans="1:12" ht="15.75">
      <c r="A9" s="73" t="s">
        <v>230</v>
      </c>
    </row>
    <row r="10" spans="1:12">
      <c r="A10" s="227" t="s">
        <v>275</v>
      </c>
      <c r="B10" s="227"/>
      <c r="C10" s="227"/>
      <c r="D10" s="227"/>
      <c r="E10" s="227"/>
      <c r="F10" s="227"/>
      <c r="G10" s="227"/>
      <c r="H10" s="227"/>
      <c r="I10" s="227"/>
      <c r="J10" s="227"/>
      <c r="K10" s="227"/>
    </row>
    <row r="11" spans="1:12">
      <c r="A11" s="227"/>
      <c r="B11" s="227"/>
      <c r="C11" s="227"/>
      <c r="D11" s="227"/>
      <c r="E11" s="227"/>
      <c r="F11" s="227"/>
      <c r="G11" s="227"/>
      <c r="H11" s="227"/>
      <c r="I11" s="227"/>
      <c r="J11" s="227"/>
      <c r="K11" s="227"/>
    </row>
    <row r="12" spans="1:12">
      <c r="A12" s="88"/>
      <c r="B12" s="88"/>
      <c r="C12" s="88"/>
      <c r="D12" s="88"/>
      <c r="E12" s="88"/>
      <c r="F12" s="88"/>
      <c r="G12" s="88"/>
      <c r="H12" s="88"/>
      <c r="I12" s="88"/>
      <c r="J12" s="88"/>
      <c r="K12" s="88"/>
    </row>
    <row r="13" spans="1:12" ht="15.75">
      <c r="A13" s="73" t="s">
        <v>231</v>
      </c>
    </row>
    <row r="14" spans="1:12">
      <c r="A14" t="s">
        <v>205</v>
      </c>
    </row>
    <row r="16" spans="1:12" ht="15.75">
      <c r="A16" s="73" t="s">
        <v>232</v>
      </c>
    </row>
    <row r="17" spans="1:11">
      <c r="A17" t="s">
        <v>206</v>
      </c>
    </row>
    <row r="19" spans="1:11" ht="15.75">
      <c r="A19" s="73" t="s">
        <v>48</v>
      </c>
    </row>
    <row r="20" spans="1:11">
      <c r="A20" t="s">
        <v>218</v>
      </c>
    </row>
    <row r="21" spans="1:11">
      <c r="A21" s="78" t="s">
        <v>207</v>
      </c>
      <c r="B21" s="78" t="s">
        <v>212</v>
      </c>
      <c r="C21" s="78" t="s">
        <v>213</v>
      </c>
      <c r="D21" s="229" t="s">
        <v>217</v>
      </c>
      <c r="E21" s="229"/>
      <c r="F21" s="229"/>
    </row>
    <row r="22" spans="1:11">
      <c r="A22" s="77" t="s">
        <v>208</v>
      </c>
      <c r="B22" s="77">
        <v>90</v>
      </c>
      <c r="C22" s="78" t="str">
        <f>IF(B22&gt;=40,"Pass","Fail")</f>
        <v>Pass</v>
      </c>
      <c r="D22" s="230" t="s">
        <v>214</v>
      </c>
      <c r="E22" s="231"/>
      <c r="F22" s="232"/>
    </row>
    <row r="23" spans="1:11">
      <c r="A23" s="77" t="s">
        <v>209</v>
      </c>
      <c r="B23" s="77">
        <v>70</v>
      </c>
      <c r="C23" s="214" t="str">
        <f t="shared" ref="C23:C25" si="0">IF(B23&gt;=40,"Pass","Fail")</f>
        <v>Pass</v>
      </c>
      <c r="D23" s="230" t="s">
        <v>215</v>
      </c>
      <c r="E23" s="231"/>
      <c r="F23" s="232"/>
    </row>
    <row r="24" spans="1:11">
      <c r="A24" s="77" t="s">
        <v>210</v>
      </c>
      <c r="B24" s="77">
        <v>20</v>
      </c>
      <c r="C24" s="214" t="str">
        <f t="shared" si="0"/>
        <v>Fail</v>
      </c>
      <c r="D24" s="230" t="s">
        <v>216</v>
      </c>
      <c r="E24" s="231"/>
      <c r="F24" s="232"/>
    </row>
    <row r="25" spans="1:11">
      <c r="A25" s="77" t="s">
        <v>211</v>
      </c>
      <c r="B25" s="77">
        <v>41</v>
      </c>
      <c r="C25" s="214" t="str">
        <f t="shared" si="0"/>
        <v>Pass</v>
      </c>
      <c r="D25" s="233" t="s">
        <v>289</v>
      </c>
      <c r="E25" s="233"/>
      <c r="F25" s="233"/>
    </row>
    <row r="27" spans="1:11" ht="15.75">
      <c r="A27" s="73" t="s">
        <v>156</v>
      </c>
    </row>
    <row r="28" spans="1:11" ht="15" customHeight="1">
      <c r="A28" s="228" t="s">
        <v>237</v>
      </c>
      <c r="B28" s="228"/>
      <c r="C28" s="228"/>
      <c r="D28" s="228"/>
      <c r="E28" s="228"/>
      <c r="F28" s="228"/>
      <c r="G28" s="228"/>
      <c r="H28" s="228"/>
      <c r="I28" s="228"/>
      <c r="J28" s="228"/>
      <c r="K28" s="228"/>
    </row>
    <row r="29" spans="1:11">
      <c r="A29" s="228"/>
      <c r="B29" s="228"/>
      <c r="C29" s="228"/>
      <c r="D29" s="228"/>
      <c r="E29" s="228"/>
      <c r="F29" s="228"/>
      <c r="G29" s="228"/>
      <c r="H29" s="228"/>
      <c r="I29" s="228"/>
      <c r="J29" s="228"/>
      <c r="K29" s="228"/>
    </row>
    <row r="30" spans="1:11">
      <c r="A30" s="90"/>
      <c r="B30" s="90"/>
      <c r="C30" s="90"/>
      <c r="D30" s="90"/>
      <c r="E30" s="90"/>
      <c r="F30" s="90"/>
      <c r="G30" s="90"/>
      <c r="H30" s="90"/>
      <c r="I30" s="90"/>
      <c r="J30" s="90"/>
    </row>
    <row r="31" spans="1:11" ht="15.75">
      <c r="A31" s="73" t="s">
        <v>235</v>
      </c>
    </row>
    <row r="32" spans="1:11">
      <c r="A32" t="s">
        <v>228</v>
      </c>
    </row>
    <row r="33" spans="1:3">
      <c r="A33" s="78" t="s">
        <v>219</v>
      </c>
      <c r="B33" s="78" t="s">
        <v>224</v>
      </c>
      <c r="C33" s="78" t="s">
        <v>227</v>
      </c>
    </row>
    <row r="34" spans="1:3">
      <c r="A34" s="77" t="s">
        <v>220</v>
      </c>
      <c r="B34" s="77" t="s">
        <v>225</v>
      </c>
      <c r="C34" s="220" t="str">
        <f>IF(B34="AVP","$2000","$1000")</f>
        <v>$2000</v>
      </c>
    </row>
    <row r="35" spans="1:3">
      <c r="A35" s="77" t="s">
        <v>221</v>
      </c>
      <c r="B35" s="77" t="s">
        <v>226</v>
      </c>
      <c r="C35" s="220" t="str">
        <f t="shared" ref="C35:C37" si="1">IF(B35="AVP","$2000","$1000")</f>
        <v>$1000</v>
      </c>
    </row>
    <row r="36" spans="1:3">
      <c r="A36" s="77" t="s">
        <v>222</v>
      </c>
      <c r="B36" s="77" t="s">
        <v>226</v>
      </c>
      <c r="C36" s="220" t="str">
        <f t="shared" si="1"/>
        <v>$1000</v>
      </c>
    </row>
    <row r="37" spans="1:3">
      <c r="A37" s="77" t="s">
        <v>223</v>
      </c>
      <c r="B37" s="77" t="s">
        <v>226</v>
      </c>
      <c r="C37" s="220" t="str">
        <f t="shared" si="1"/>
        <v>$1000</v>
      </c>
    </row>
  </sheetData>
  <mergeCells count="7">
    <mergeCell ref="A10:K11"/>
    <mergeCell ref="A28:K29"/>
    <mergeCell ref="D21:F21"/>
    <mergeCell ref="D22:F22"/>
    <mergeCell ref="D23:F23"/>
    <mergeCell ref="D24:F24"/>
    <mergeCell ref="D25:F25"/>
  </mergeCells>
  <pageMargins left="0.7" right="0.7" top="0.75" bottom="0.75" header="0.3" footer="0.3"/>
  <pageSetup orientation="portrait" horizontalDpi="4294967293" vertic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8"/>
  <sheetViews>
    <sheetView showGridLines="0" zoomScale="90" zoomScaleNormal="90" workbookViewId="0">
      <selection activeCell="F28" sqref="F28:H28"/>
    </sheetView>
  </sheetViews>
  <sheetFormatPr defaultRowHeight="15"/>
  <cols>
    <col min="1" max="1" width="10" customWidth="1"/>
    <col min="2" max="2" width="11.5703125" bestFit="1" customWidth="1"/>
    <col min="3" max="3" width="10.140625" customWidth="1"/>
    <col min="4" max="4" width="15.5703125" customWidth="1"/>
    <col min="5" max="5" width="14.5703125"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151</v>
      </c>
      <c r="B1" s="259"/>
      <c r="C1" s="112"/>
      <c r="D1" s="76"/>
      <c r="E1" s="76"/>
      <c r="F1" s="76"/>
      <c r="G1" s="76"/>
      <c r="H1" s="76"/>
      <c r="I1" s="76"/>
      <c r="J1" s="76"/>
      <c r="K1" s="76"/>
      <c r="L1" s="76"/>
    </row>
    <row r="2" spans="1:12" ht="15.75" thickTop="1"/>
    <row r="3" spans="1:12" ht="18.75">
      <c r="A3" s="74" t="s">
        <v>203</v>
      </c>
    </row>
    <row r="4" spans="1:12">
      <c r="A4" s="260" t="s">
        <v>1048</v>
      </c>
      <c r="B4" s="260"/>
      <c r="C4" s="260"/>
      <c r="D4" s="260"/>
      <c r="E4" s="260"/>
      <c r="F4" s="260"/>
      <c r="G4" s="260"/>
      <c r="H4" s="260"/>
      <c r="I4" s="260"/>
      <c r="J4" s="260"/>
    </row>
    <row r="5" spans="1:12">
      <c r="A5" s="260"/>
      <c r="B5" s="260"/>
      <c r="C5" s="260"/>
      <c r="D5" s="260"/>
      <c r="E5" s="260"/>
      <c r="F5" s="260"/>
      <c r="G5" s="260"/>
      <c r="H5" s="260"/>
      <c r="I5" s="260"/>
      <c r="J5" s="260"/>
    </row>
    <row r="6" spans="1:12">
      <c r="A6" s="113"/>
      <c r="B6" s="113"/>
      <c r="C6" s="113"/>
      <c r="D6" s="113"/>
      <c r="E6" s="113"/>
      <c r="F6" s="113"/>
      <c r="G6" s="113"/>
      <c r="H6" s="113"/>
      <c r="I6" s="113"/>
      <c r="J6" s="113"/>
    </row>
    <row r="7" spans="1:12" ht="18.75">
      <c r="A7" s="74" t="s">
        <v>24</v>
      </c>
    </row>
    <row r="8" spans="1:12" ht="15.75">
      <c r="A8" s="80" t="s">
        <v>389</v>
      </c>
    </row>
    <row r="10" spans="1:12" ht="15.75">
      <c r="A10" s="73" t="s">
        <v>145</v>
      </c>
    </row>
    <row r="11" spans="1:12">
      <c r="A11" t="s">
        <v>388</v>
      </c>
    </row>
    <row r="13" spans="1:12" ht="15.75">
      <c r="A13" s="73" t="s">
        <v>48</v>
      </c>
    </row>
    <row r="14" spans="1:12">
      <c r="A14" t="s">
        <v>1051</v>
      </c>
    </row>
    <row r="15" spans="1:12">
      <c r="A15" s="85" t="s">
        <v>360</v>
      </c>
      <c r="B15" s="92" t="s">
        <v>49</v>
      </c>
      <c r="C15" s="229" t="s">
        <v>217</v>
      </c>
      <c r="D15" s="229"/>
      <c r="E15" s="229"/>
    </row>
    <row r="16" spans="1:12">
      <c r="A16" s="77" t="s">
        <v>390</v>
      </c>
      <c r="B16" s="85" t="str">
        <f>TRIM(A16)</f>
        <v>S001 A</v>
      </c>
      <c r="C16" s="233" t="s">
        <v>394</v>
      </c>
      <c r="D16" s="233"/>
      <c r="E16" s="233"/>
    </row>
    <row r="17" spans="1:10">
      <c r="A17" s="77" t="s">
        <v>391</v>
      </c>
      <c r="B17" s="85" t="str">
        <f t="shared" ref="B17:B19" si="0">TRIM(A17)</f>
        <v>S001 A</v>
      </c>
      <c r="C17" s="233" t="s">
        <v>395</v>
      </c>
      <c r="D17" s="233"/>
      <c r="E17" s="233"/>
    </row>
    <row r="18" spans="1:10">
      <c r="A18" s="77" t="s">
        <v>392</v>
      </c>
      <c r="B18" s="85" t="str">
        <f t="shared" si="0"/>
        <v>S002</v>
      </c>
      <c r="C18" s="233" t="s">
        <v>396</v>
      </c>
      <c r="D18" s="233"/>
      <c r="E18" s="233"/>
    </row>
    <row r="19" spans="1:10">
      <c r="A19" s="77" t="s">
        <v>393</v>
      </c>
      <c r="B19" s="85" t="str">
        <f t="shared" si="0"/>
        <v>S003</v>
      </c>
      <c r="C19" s="233" t="s">
        <v>397</v>
      </c>
      <c r="D19" s="233"/>
      <c r="E19" s="233"/>
    </row>
    <row r="21" spans="1:10" ht="15.75">
      <c r="A21" s="73" t="s">
        <v>235</v>
      </c>
    </row>
    <row r="22" spans="1:10">
      <c r="A22" s="227" t="s">
        <v>398</v>
      </c>
      <c r="B22" s="227"/>
      <c r="C22" s="227"/>
      <c r="D22" s="227"/>
      <c r="E22" s="227"/>
      <c r="F22" s="227"/>
      <c r="G22" s="227"/>
      <c r="H22" s="227"/>
      <c r="I22" s="227"/>
      <c r="J22" s="227"/>
    </row>
    <row r="23" spans="1:10">
      <c r="A23" s="227"/>
      <c r="B23" s="227"/>
      <c r="C23" s="227"/>
      <c r="D23" s="227"/>
      <c r="E23" s="227"/>
      <c r="F23" s="227"/>
      <c r="G23" s="227"/>
      <c r="H23" s="227"/>
      <c r="I23" s="227"/>
      <c r="J23" s="227"/>
    </row>
    <row r="24" spans="1:10">
      <c r="A24" s="85" t="s">
        <v>360</v>
      </c>
      <c r="B24" s="85" t="s">
        <v>359</v>
      </c>
      <c r="C24" s="85" t="s">
        <v>361</v>
      </c>
      <c r="D24" s="92" t="s">
        <v>49</v>
      </c>
      <c r="E24" s="92" t="s">
        <v>386</v>
      </c>
      <c r="F24" s="256" t="s">
        <v>217</v>
      </c>
      <c r="G24" s="257"/>
      <c r="H24" s="258"/>
    </row>
    <row r="25" spans="1:10">
      <c r="A25" s="77" t="s">
        <v>399</v>
      </c>
      <c r="B25" s="77" t="s">
        <v>225</v>
      </c>
      <c r="C25" s="111">
        <v>800</v>
      </c>
      <c r="D25" s="85" t="s">
        <v>382</v>
      </c>
      <c r="E25" s="93" t="s">
        <v>161</v>
      </c>
      <c r="F25" s="256" t="str">
        <f>TRIM(CONCATENATE(A25,B25,C25))</f>
        <v>E001 AVP800</v>
      </c>
      <c r="G25" s="257"/>
      <c r="H25" s="258"/>
    </row>
    <row r="26" spans="1:10">
      <c r="A26" s="77" t="s">
        <v>400</v>
      </c>
      <c r="B26" s="77" t="s">
        <v>226</v>
      </c>
      <c r="C26" s="111">
        <v>500</v>
      </c>
      <c r="D26" s="85" t="s">
        <v>378</v>
      </c>
      <c r="E26" s="93" t="s">
        <v>161</v>
      </c>
      <c r="F26" s="256" t="str">
        <f t="shared" ref="F26" si="1">TRIM(CONCATENATE(A26,B26,C26))</f>
        <v>E002 Analyst500</v>
      </c>
      <c r="G26" s="257"/>
      <c r="H26" s="258"/>
    </row>
    <row r="27" spans="1:10">
      <c r="A27" s="77" t="s">
        <v>222</v>
      </c>
      <c r="B27" s="77" t="s">
        <v>401</v>
      </c>
      <c r="C27" s="111">
        <v>100</v>
      </c>
      <c r="D27" s="85" t="s">
        <v>383</v>
      </c>
      <c r="E27" s="93" t="s">
        <v>387</v>
      </c>
      <c r="F27" s="256" t="str">
        <f>TRIM(A27&amp;B27&amp;C27)</f>
        <v>E003Ana lyst100</v>
      </c>
      <c r="G27" s="257"/>
      <c r="H27" s="258"/>
    </row>
    <row r="28" spans="1:10">
      <c r="A28" s="77" t="s">
        <v>223</v>
      </c>
      <c r="B28" s="77" t="s">
        <v>402</v>
      </c>
      <c r="C28" s="111">
        <v>400</v>
      </c>
      <c r="D28" s="85" t="s">
        <v>384</v>
      </c>
      <c r="E28" s="93" t="s">
        <v>387</v>
      </c>
      <c r="F28" s="256" t="str">
        <f>TRIM(A28&amp;B28&amp;C28)</f>
        <v>E004Analyst 400</v>
      </c>
      <c r="G28" s="257"/>
      <c r="H28" s="258"/>
    </row>
  </sheetData>
  <mergeCells count="13">
    <mergeCell ref="F28:H28"/>
    <mergeCell ref="A22:J23"/>
    <mergeCell ref="F24:H24"/>
    <mergeCell ref="C15:E15"/>
    <mergeCell ref="C16:E16"/>
    <mergeCell ref="C17:E17"/>
    <mergeCell ref="C18:E18"/>
    <mergeCell ref="C19:E19"/>
    <mergeCell ref="A1:B1"/>
    <mergeCell ref="A4:J5"/>
    <mergeCell ref="F25:H25"/>
    <mergeCell ref="F26:H26"/>
    <mergeCell ref="F27:H27"/>
  </mergeCells>
  <pageMargins left="0.7" right="0.7" top="0.75" bottom="0.75" header="0.3" footer="0.3"/>
  <pageSetup orientation="portrait" horizontalDpi="4294967293" verticalDpi="4294967293"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42"/>
  <sheetViews>
    <sheetView showGridLines="0" topLeftCell="A16" zoomScale="90" zoomScaleNormal="90" workbookViewId="0">
      <selection activeCell="E41" sqref="E41:F41"/>
    </sheetView>
  </sheetViews>
  <sheetFormatPr defaultRowHeight="15"/>
  <cols>
    <col min="1" max="1" width="10" customWidth="1"/>
    <col min="2" max="2" width="11.5703125" customWidth="1"/>
    <col min="3" max="3" width="10.140625" customWidth="1"/>
    <col min="4" max="4" width="15.5703125" customWidth="1"/>
    <col min="5" max="5" width="14.5703125"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162</v>
      </c>
      <c r="B1" s="259"/>
      <c r="C1" s="259"/>
      <c r="D1" s="76"/>
      <c r="E1" s="76"/>
      <c r="F1" s="76"/>
      <c r="G1" s="76"/>
      <c r="H1" s="76"/>
      <c r="I1" s="76"/>
      <c r="J1" s="76"/>
      <c r="K1" s="76"/>
      <c r="L1" s="76"/>
    </row>
    <row r="2" spans="1:12" ht="15.75" thickTop="1"/>
    <row r="3" spans="1:12" ht="18.75">
      <c r="A3" s="74" t="s">
        <v>203</v>
      </c>
    </row>
    <row r="4" spans="1:12">
      <c r="A4" s="260" t="s">
        <v>411</v>
      </c>
      <c r="B4" s="260"/>
      <c r="C4" s="260"/>
      <c r="D4" s="260"/>
      <c r="E4" s="260"/>
      <c r="F4" s="260"/>
      <c r="G4" s="260"/>
      <c r="H4" s="260"/>
      <c r="I4" s="260"/>
      <c r="J4" s="260"/>
    </row>
    <row r="5" spans="1:12">
      <c r="A5" s="260"/>
      <c r="B5" s="260"/>
      <c r="C5" s="260"/>
      <c r="D5" s="260"/>
      <c r="E5" s="260"/>
      <c r="F5" s="260"/>
      <c r="G5" s="260"/>
      <c r="H5" s="260"/>
      <c r="I5" s="260"/>
      <c r="J5" s="260"/>
    </row>
    <row r="6" spans="1:12">
      <c r="A6" s="118"/>
      <c r="B6" s="118"/>
      <c r="C6" s="118"/>
      <c r="D6" s="118"/>
      <c r="E6" s="118"/>
      <c r="F6" s="118"/>
      <c r="G6" s="118"/>
      <c r="H6" s="118"/>
      <c r="I6" s="118"/>
      <c r="J6" s="118"/>
    </row>
    <row r="7" spans="1:12" ht="18.75">
      <c r="A7" s="74" t="s">
        <v>24</v>
      </c>
    </row>
    <row r="8" spans="1:12" ht="15.75">
      <c r="A8" s="80" t="s">
        <v>403</v>
      </c>
    </row>
    <row r="10" spans="1:12" ht="15.75">
      <c r="A10" s="73" t="s">
        <v>145</v>
      </c>
    </row>
    <row r="11" spans="1:12">
      <c r="A11" t="s">
        <v>404</v>
      </c>
    </row>
    <row r="13" spans="1:12" ht="15.75">
      <c r="A13" s="73" t="s">
        <v>405</v>
      </c>
    </row>
    <row r="14" spans="1:12">
      <c r="A14" t="s">
        <v>406</v>
      </c>
    </row>
    <row r="16" spans="1:12" ht="15.75">
      <c r="A16" s="73" t="s">
        <v>407</v>
      </c>
    </row>
    <row r="17" spans="1:10">
      <c r="A17" t="s">
        <v>408</v>
      </c>
    </row>
    <row r="19" spans="1:10" ht="15.75">
      <c r="A19" s="73" t="s">
        <v>409</v>
      </c>
    </row>
    <row r="20" spans="1:10">
      <c r="A20" s="227" t="s">
        <v>410</v>
      </c>
      <c r="B20" s="227"/>
      <c r="C20" s="227"/>
      <c r="D20" s="227"/>
      <c r="E20" s="227"/>
      <c r="F20" s="227"/>
      <c r="G20" s="227"/>
      <c r="H20" s="227"/>
      <c r="I20" s="227"/>
      <c r="J20" s="227"/>
    </row>
    <row r="21" spans="1:10">
      <c r="A21" s="227"/>
      <c r="B21" s="227"/>
      <c r="C21" s="227"/>
      <c r="D21" s="227"/>
      <c r="E21" s="227"/>
      <c r="F21" s="227"/>
      <c r="G21" s="227"/>
      <c r="H21" s="227"/>
      <c r="I21" s="227"/>
      <c r="J21" s="227"/>
    </row>
    <row r="22" spans="1:10">
      <c r="A22" s="114"/>
      <c r="B22" s="114"/>
      <c r="C22" s="114"/>
      <c r="D22" s="114"/>
      <c r="E22" s="114"/>
      <c r="F22" s="114"/>
      <c r="G22" s="114"/>
      <c r="H22" s="114"/>
      <c r="I22" s="114"/>
      <c r="J22" s="114"/>
    </row>
    <row r="23" spans="1:10" ht="15.75">
      <c r="A23" s="73" t="s">
        <v>48</v>
      </c>
    </row>
    <row r="24" spans="1:10">
      <c r="A24" t="s">
        <v>373</v>
      </c>
    </row>
    <row r="25" spans="1:10">
      <c r="A25" s="245" t="s">
        <v>415</v>
      </c>
      <c r="B25" s="245"/>
      <c r="C25" s="245"/>
      <c r="D25" s="116" t="s">
        <v>416</v>
      </c>
      <c r="E25" s="245" t="s">
        <v>49</v>
      </c>
      <c r="F25" s="245"/>
      <c r="G25" s="229" t="s">
        <v>217</v>
      </c>
      <c r="H25" s="229"/>
      <c r="I25" s="229"/>
    </row>
    <row r="26" spans="1:10">
      <c r="A26" s="261" t="s">
        <v>412</v>
      </c>
      <c r="B26" s="261"/>
      <c r="C26" s="261"/>
      <c r="D26" s="117"/>
      <c r="E26" s="261" t="str">
        <f>SUBSTITUTE(A26,"t","b")</f>
        <v>Hub</v>
      </c>
      <c r="F26" s="261"/>
      <c r="G26" s="246" t="s">
        <v>418</v>
      </c>
      <c r="H26" s="246"/>
      <c r="I26" s="246"/>
    </row>
    <row r="27" spans="1:10">
      <c r="A27" s="261" t="s">
        <v>417</v>
      </c>
      <c r="B27" s="261"/>
      <c r="C27" s="261"/>
      <c r="D27" s="117">
        <v>1</v>
      </c>
      <c r="E27" s="261" t="str">
        <f>SUBSTITUTE(A27,"b","T",1)</f>
        <v>Tumble</v>
      </c>
      <c r="F27" s="261"/>
      <c r="G27" s="246" t="s">
        <v>419</v>
      </c>
      <c r="H27" s="246"/>
      <c r="I27" s="246"/>
    </row>
    <row r="28" spans="1:10">
      <c r="A28" s="261" t="s">
        <v>413</v>
      </c>
      <c r="B28" s="261"/>
      <c r="C28" s="261"/>
      <c r="D28" s="117"/>
      <c r="E28" s="261" t="str">
        <f>SUBSTITUTE(A28,"the"," ")</f>
        <v xml:space="preserve">  car is in   driveway</v>
      </c>
      <c r="F28" s="261"/>
      <c r="G28" s="246" t="s">
        <v>420</v>
      </c>
      <c r="H28" s="246"/>
      <c r="I28" s="246"/>
    </row>
    <row r="29" spans="1:10">
      <c r="A29" s="261" t="s">
        <v>413</v>
      </c>
      <c r="B29" s="261"/>
      <c r="C29" s="261"/>
      <c r="D29" s="117">
        <v>2</v>
      </c>
      <c r="E29" s="261" t="str">
        <f>SUBSTITUTE(A29,"the","a",2)</f>
        <v>the car is in a driveway</v>
      </c>
      <c r="F29" s="261"/>
      <c r="G29" s="246" t="s">
        <v>421</v>
      </c>
      <c r="H29" s="246"/>
      <c r="I29" s="246"/>
    </row>
    <row r="30" spans="1:10">
      <c r="A30" s="261" t="s">
        <v>414</v>
      </c>
      <c r="B30" s="261"/>
      <c r="C30" s="261"/>
      <c r="D30" s="117"/>
      <c r="E30" s="261" t="str">
        <f>SUBSTITUTE(A30,"The"," ")</f>
        <v xml:space="preserve">  car is in the driveway</v>
      </c>
      <c r="F30" s="261"/>
      <c r="G30" s="246" t="s">
        <v>422</v>
      </c>
      <c r="H30" s="246"/>
      <c r="I30" s="246"/>
    </row>
    <row r="32" spans="1:10" ht="15.75">
      <c r="A32" s="73" t="s">
        <v>156</v>
      </c>
    </row>
    <row r="33" spans="1:10">
      <c r="A33" s="227" t="s">
        <v>423</v>
      </c>
      <c r="B33" s="227"/>
      <c r="C33" s="227"/>
      <c r="D33" s="227"/>
      <c r="E33" s="227"/>
      <c r="F33" s="227"/>
      <c r="G33" s="227"/>
      <c r="H33" s="227"/>
      <c r="I33" s="227"/>
      <c r="J33" s="227"/>
    </row>
    <row r="34" spans="1:10">
      <c r="A34" s="227"/>
      <c r="B34" s="227"/>
      <c r="C34" s="227"/>
      <c r="D34" s="227"/>
      <c r="E34" s="227"/>
      <c r="F34" s="227"/>
      <c r="G34" s="227"/>
      <c r="H34" s="227"/>
      <c r="I34" s="227"/>
      <c r="J34" s="227"/>
    </row>
    <row r="36" spans="1:10" ht="15.75">
      <c r="A36" s="73" t="s">
        <v>235</v>
      </c>
    </row>
    <row r="37" spans="1:10">
      <c r="A37" s="227" t="s">
        <v>424</v>
      </c>
      <c r="B37" s="227"/>
      <c r="C37" s="227"/>
      <c r="D37" s="227"/>
      <c r="E37" s="227"/>
      <c r="F37" s="227"/>
      <c r="G37" s="227"/>
      <c r="H37" s="227"/>
      <c r="I37" s="227"/>
      <c r="J37" s="227"/>
    </row>
    <row r="38" spans="1:10">
      <c r="A38" s="252" t="s">
        <v>415</v>
      </c>
      <c r="B38" s="254"/>
      <c r="C38" s="245" t="s">
        <v>49</v>
      </c>
      <c r="D38" s="245"/>
      <c r="E38" s="257" t="s">
        <v>217</v>
      </c>
      <c r="F38" s="258"/>
    </row>
    <row r="39" spans="1:10">
      <c r="A39" s="234" t="s">
        <v>425</v>
      </c>
      <c r="B39" s="235"/>
      <c r="C39" s="234" t="s">
        <v>428</v>
      </c>
      <c r="D39" s="235"/>
      <c r="E39" s="257" t="str">
        <f>SUBSTITUTE(A39,"The", " ")</f>
        <v xml:space="preserve">  dog is in the lawn</v>
      </c>
      <c r="F39" s="258"/>
    </row>
    <row r="40" spans="1:10">
      <c r="A40" s="234" t="s">
        <v>426</v>
      </c>
      <c r="B40" s="235"/>
      <c r="C40" s="234" t="s">
        <v>429</v>
      </c>
      <c r="D40" s="235"/>
      <c r="E40" s="257" t="str">
        <f>SUBSTITUTE(A40,"the", " ")</f>
        <v xml:space="preserve">  dog is in   lawn</v>
      </c>
      <c r="F40" s="258"/>
    </row>
    <row r="41" spans="1:10">
      <c r="A41" s="234" t="s">
        <v>427</v>
      </c>
      <c r="B41" s="235"/>
      <c r="C41" s="234" t="s">
        <v>430</v>
      </c>
      <c r="D41" s="235"/>
      <c r="E41" s="257" t="str">
        <f>SUBSTITUTE(A41,"D", "F")</f>
        <v>Fog</v>
      </c>
      <c r="F41" s="258"/>
    </row>
    <row r="42" spans="1:10">
      <c r="A42" s="234" t="s">
        <v>431</v>
      </c>
      <c r="B42" s="235"/>
      <c r="C42" s="234" t="s">
        <v>432</v>
      </c>
      <c r="D42" s="235"/>
      <c r="E42" s="257" t="str">
        <f>SUBSTITUTE(A42,"C", "F", 1)</f>
        <v>Furious Cat</v>
      </c>
      <c r="F42" s="258"/>
    </row>
  </sheetData>
  <mergeCells count="38">
    <mergeCell ref="A4:J5"/>
    <mergeCell ref="G25:I25"/>
    <mergeCell ref="E26:F26"/>
    <mergeCell ref="E27:F27"/>
    <mergeCell ref="E28:F28"/>
    <mergeCell ref="G26:I26"/>
    <mergeCell ref="G27:I27"/>
    <mergeCell ref="G28:I28"/>
    <mergeCell ref="E25:F25"/>
    <mergeCell ref="E42:F42"/>
    <mergeCell ref="A1:C1"/>
    <mergeCell ref="A20:J21"/>
    <mergeCell ref="A28:C28"/>
    <mergeCell ref="A30:C30"/>
    <mergeCell ref="A27:C27"/>
    <mergeCell ref="A26:C26"/>
    <mergeCell ref="A25:C25"/>
    <mergeCell ref="A29:C29"/>
    <mergeCell ref="A37:J37"/>
    <mergeCell ref="E38:F38"/>
    <mergeCell ref="E39:F39"/>
    <mergeCell ref="E40:F40"/>
    <mergeCell ref="E41:F41"/>
    <mergeCell ref="A33:J34"/>
    <mergeCell ref="A39:B39"/>
    <mergeCell ref="G29:I29"/>
    <mergeCell ref="G30:I30"/>
    <mergeCell ref="A38:B38"/>
    <mergeCell ref="C38:D38"/>
    <mergeCell ref="E29:F29"/>
    <mergeCell ref="E30:F30"/>
    <mergeCell ref="A42:B42"/>
    <mergeCell ref="C39:D39"/>
    <mergeCell ref="C40:D40"/>
    <mergeCell ref="C41:D41"/>
    <mergeCell ref="C42:D42"/>
    <mergeCell ref="A40:B40"/>
    <mergeCell ref="A41:B41"/>
  </mergeCells>
  <pageMargins left="0.7" right="0.7" top="0.75" bottom="0.75" header="0.3" footer="0.3"/>
  <pageSetup orientation="portrait" horizontalDpi="4294967293" verticalDpi="4294967293"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24"/>
  <sheetViews>
    <sheetView showGridLines="0" zoomScale="90" zoomScaleNormal="90" workbookViewId="0">
      <selection activeCell="G28" sqref="G28"/>
    </sheetView>
  </sheetViews>
  <sheetFormatPr defaultRowHeight="15"/>
  <cols>
    <col min="1" max="1" width="10.42578125" customWidth="1"/>
    <col min="2" max="2" width="11.5703125" customWidth="1"/>
    <col min="3" max="3" width="10.140625" customWidth="1"/>
    <col min="4" max="4" width="15.5703125" customWidth="1"/>
    <col min="5" max="5" width="9.7109375"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163</v>
      </c>
      <c r="B1" s="259"/>
      <c r="C1" s="112"/>
      <c r="D1" s="76"/>
      <c r="E1" s="76"/>
      <c r="F1" s="76"/>
      <c r="G1" s="76"/>
      <c r="H1" s="76"/>
      <c r="I1" s="76"/>
      <c r="J1" s="76"/>
      <c r="K1" s="76"/>
      <c r="L1" s="76"/>
    </row>
    <row r="2" spans="1:12" ht="15.75" thickTop="1"/>
    <row r="3" spans="1:12" ht="18.75">
      <c r="A3" s="74" t="s">
        <v>203</v>
      </c>
    </row>
    <row r="4" spans="1:12">
      <c r="A4" s="260" t="s">
        <v>434</v>
      </c>
      <c r="B4" s="260"/>
      <c r="C4" s="260"/>
      <c r="D4" s="260"/>
      <c r="E4" s="260"/>
      <c r="F4" s="260"/>
      <c r="G4" s="260"/>
      <c r="H4" s="260"/>
      <c r="I4" s="260"/>
      <c r="J4" s="260"/>
    </row>
    <row r="5" spans="1:12">
      <c r="A5" s="118"/>
      <c r="B5" s="118"/>
      <c r="C5" s="118"/>
      <c r="D5" s="118"/>
      <c r="E5" s="118"/>
      <c r="F5" s="118"/>
      <c r="G5" s="118"/>
      <c r="H5" s="118"/>
      <c r="I5" s="118"/>
      <c r="J5" s="118"/>
    </row>
    <row r="6" spans="1:12" ht="18.75">
      <c r="A6" s="74" t="s">
        <v>24</v>
      </c>
    </row>
    <row r="7" spans="1:12" ht="15.75">
      <c r="A7" s="80" t="s">
        <v>433</v>
      </c>
    </row>
    <row r="9" spans="1:12" ht="15.75">
      <c r="A9" s="73" t="s">
        <v>145</v>
      </c>
    </row>
    <row r="10" spans="1:12">
      <c r="A10" t="s">
        <v>435</v>
      </c>
    </row>
    <row r="12" spans="1:12" ht="15.75">
      <c r="A12" s="73" t="s">
        <v>48</v>
      </c>
    </row>
    <row r="13" spans="1:12">
      <c r="A13" t="s">
        <v>441</v>
      </c>
    </row>
    <row r="14" spans="1:12">
      <c r="A14" s="116" t="s">
        <v>145</v>
      </c>
      <c r="B14" s="115" t="s">
        <v>49</v>
      </c>
      <c r="C14" s="256" t="s">
        <v>217</v>
      </c>
      <c r="D14" s="258"/>
    </row>
    <row r="15" spans="1:12">
      <c r="A15" s="87">
        <v>12345</v>
      </c>
      <c r="B15" s="116">
        <f>VALUE(A15)</f>
        <v>12345</v>
      </c>
      <c r="C15" s="230" t="s">
        <v>436</v>
      </c>
      <c r="D15" s="232"/>
    </row>
    <row r="16" spans="1:12">
      <c r="A16" s="107">
        <v>42821</v>
      </c>
      <c r="B16" s="116">
        <f>VALUE(A16)</f>
        <v>42821</v>
      </c>
      <c r="C16" s="230" t="s">
        <v>437</v>
      </c>
      <c r="D16" s="232"/>
      <c r="F16" s="241" t="s">
        <v>439</v>
      </c>
      <c r="G16" s="241"/>
      <c r="H16" s="241"/>
      <c r="I16" s="241"/>
    </row>
    <row r="17" spans="1:10">
      <c r="A17" s="107">
        <v>41982</v>
      </c>
      <c r="B17" s="116">
        <f>VALUE(A17)</f>
        <v>41982</v>
      </c>
      <c r="C17" s="230" t="s">
        <v>438</v>
      </c>
      <c r="D17" s="232"/>
      <c r="F17" s="241"/>
      <c r="G17" s="241"/>
      <c r="H17" s="241"/>
      <c r="I17" s="241"/>
    </row>
    <row r="19" spans="1:10" ht="15.75">
      <c r="A19" s="73" t="s">
        <v>235</v>
      </c>
    </row>
    <row r="20" spans="1:10">
      <c r="A20" s="227" t="s">
        <v>440</v>
      </c>
      <c r="B20" s="227"/>
      <c r="C20" s="227"/>
      <c r="D20" s="227"/>
      <c r="E20" s="227"/>
      <c r="F20" s="227"/>
      <c r="G20" s="227"/>
      <c r="H20" s="227"/>
      <c r="I20" s="227"/>
      <c r="J20" s="227"/>
    </row>
    <row r="21" spans="1:10">
      <c r="A21" s="116" t="s">
        <v>145</v>
      </c>
      <c r="B21" s="115" t="s">
        <v>49</v>
      </c>
      <c r="C21" s="256" t="s">
        <v>217</v>
      </c>
      <c r="D21" s="257"/>
      <c r="E21" s="258"/>
    </row>
    <row r="22" spans="1:10">
      <c r="A22" s="123">
        <v>123.17</v>
      </c>
      <c r="B22" s="116">
        <v>123</v>
      </c>
      <c r="C22" s="305">
        <f>VALUE(A22)</f>
        <v>123.17</v>
      </c>
      <c r="D22" s="306"/>
      <c r="E22" s="307"/>
    </row>
    <row r="23" spans="1:10">
      <c r="A23" s="107">
        <v>43070</v>
      </c>
      <c r="B23" s="116">
        <v>43070</v>
      </c>
      <c r="C23" s="256">
        <f t="shared" ref="C23:C24" si="0">VALUE(A23)</f>
        <v>43070</v>
      </c>
      <c r="D23" s="257"/>
      <c r="E23" s="258"/>
    </row>
    <row r="24" spans="1:10">
      <c r="A24" s="107">
        <v>42747</v>
      </c>
      <c r="B24" s="116">
        <v>42747</v>
      </c>
      <c r="C24" s="256">
        <f t="shared" si="0"/>
        <v>42747</v>
      </c>
      <c r="D24" s="257"/>
      <c r="E24" s="258"/>
    </row>
  </sheetData>
  <mergeCells count="12">
    <mergeCell ref="A1:B1"/>
    <mergeCell ref="A4:J4"/>
    <mergeCell ref="A20:J20"/>
    <mergeCell ref="C21:E21"/>
    <mergeCell ref="C22:E22"/>
    <mergeCell ref="F16:I17"/>
    <mergeCell ref="C23:E23"/>
    <mergeCell ref="C24:E24"/>
    <mergeCell ref="C14:D14"/>
    <mergeCell ref="C15:D15"/>
    <mergeCell ref="C16:D16"/>
    <mergeCell ref="C17:D17"/>
  </mergeCells>
  <pageMargins left="0.7" right="0.7" top="0.75" bottom="0.75" header="0.3" footer="0.3"/>
  <pageSetup orientation="portrait" horizontalDpi="4294967293" verticalDpi="4294967293"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30"/>
  <sheetViews>
    <sheetView showGridLines="0" zoomScale="90" zoomScaleNormal="90" workbookViewId="0">
      <selection activeCell="C28" sqref="C28:D28"/>
    </sheetView>
  </sheetViews>
  <sheetFormatPr defaultRowHeight="15"/>
  <cols>
    <col min="1" max="1" width="10.42578125" customWidth="1"/>
    <col min="2" max="2" width="11.5703125" customWidth="1"/>
    <col min="3" max="3" width="10.140625" customWidth="1"/>
    <col min="4" max="4" width="15.5703125" customWidth="1"/>
    <col min="5" max="5" width="9.7109375"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164</v>
      </c>
      <c r="B1" s="259"/>
      <c r="C1" s="112"/>
      <c r="D1" s="76"/>
      <c r="E1" s="76"/>
      <c r="F1" s="76"/>
      <c r="G1" s="76"/>
      <c r="H1" s="76"/>
      <c r="I1" s="76"/>
      <c r="J1" s="76"/>
      <c r="K1" s="76"/>
      <c r="L1" s="76"/>
    </row>
    <row r="2" spans="1:12" ht="15.75" thickTop="1"/>
    <row r="3" spans="1:12" ht="18.75">
      <c r="A3" s="74" t="s">
        <v>203</v>
      </c>
    </row>
    <row r="4" spans="1:12">
      <c r="A4" s="260" t="s">
        <v>443</v>
      </c>
      <c r="B4" s="260"/>
      <c r="C4" s="260"/>
      <c r="D4" s="260"/>
      <c r="E4" s="260"/>
      <c r="F4" s="260"/>
      <c r="G4" s="260"/>
      <c r="H4" s="260"/>
      <c r="I4" s="260"/>
      <c r="J4" s="260"/>
    </row>
    <row r="5" spans="1:12">
      <c r="A5" s="118"/>
      <c r="B5" s="118"/>
      <c r="C5" s="118"/>
      <c r="D5" s="118"/>
      <c r="E5" s="118"/>
      <c r="F5" s="118"/>
      <c r="G5" s="118"/>
      <c r="H5" s="118"/>
      <c r="I5" s="118"/>
      <c r="J5" s="118"/>
    </row>
    <row r="6" spans="1:12" ht="18.75">
      <c r="A6" s="74" t="s">
        <v>24</v>
      </c>
    </row>
    <row r="7" spans="1:12" ht="15.75">
      <c r="A7" s="80" t="s">
        <v>442</v>
      </c>
    </row>
    <row r="9" spans="1:12" ht="15.75">
      <c r="A9" s="73" t="s">
        <v>145</v>
      </c>
    </row>
    <row r="10" spans="1:12">
      <c r="A10" t="s">
        <v>444</v>
      </c>
    </row>
    <row r="12" spans="1:12" ht="15.75">
      <c r="A12" s="73" t="s">
        <v>48</v>
      </c>
    </row>
    <row r="13" spans="1:12">
      <c r="A13" s="125" t="s">
        <v>451</v>
      </c>
    </row>
    <row r="14" spans="1:12">
      <c r="A14" s="245" t="s">
        <v>145</v>
      </c>
      <c r="B14" s="245"/>
      <c r="C14" s="245" t="s">
        <v>49</v>
      </c>
      <c r="D14" s="245"/>
      <c r="E14" s="256" t="s">
        <v>217</v>
      </c>
      <c r="F14" s="258"/>
    </row>
    <row r="15" spans="1:12">
      <c r="A15" s="262" t="s">
        <v>445</v>
      </c>
      <c r="B15" s="262"/>
      <c r="C15" s="246" t="str">
        <f>UPPER(A15)</f>
        <v>LAPTOP</v>
      </c>
      <c r="D15" s="246"/>
      <c r="E15" s="230" t="s">
        <v>448</v>
      </c>
      <c r="F15" s="232"/>
    </row>
    <row r="16" spans="1:12" ht="15" customHeight="1">
      <c r="A16" s="262" t="s">
        <v>446</v>
      </c>
      <c r="B16" s="262"/>
      <c r="C16" s="246" t="str">
        <f>UPPER(A16)</f>
        <v>EXCEL</v>
      </c>
      <c r="D16" s="246"/>
      <c r="E16" s="230" t="s">
        <v>449</v>
      </c>
      <c r="F16" s="232"/>
    </row>
    <row r="17" spans="1:10">
      <c r="A17" s="262" t="s">
        <v>447</v>
      </c>
      <c r="B17" s="262"/>
      <c r="C17" s="246" t="str">
        <f>UPPER(A17)</f>
        <v>SUPERSTORE IS CLOSED NOW</v>
      </c>
      <c r="D17" s="246"/>
      <c r="E17" s="230" t="s">
        <v>450</v>
      </c>
      <c r="F17" s="232"/>
    </row>
    <row r="19" spans="1:10" ht="15.75">
      <c r="A19" s="73" t="s">
        <v>454</v>
      </c>
    </row>
    <row r="20" spans="1:10" ht="15" customHeight="1">
      <c r="A20" s="125" t="s">
        <v>451</v>
      </c>
      <c r="B20" s="114"/>
      <c r="C20" s="114"/>
      <c r="D20" s="114"/>
      <c r="E20" s="114"/>
      <c r="F20" s="114"/>
      <c r="G20" s="114"/>
      <c r="H20" s="114"/>
      <c r="I20" s="114"/>
      <c r="J20" s="114"/>
    </row>
    <row r="21" spans="1:10">
      <c r="A21" s="245" t="s">
        <v>145</v>
      </c>
      <c r="B21" s="245"/>
      <c r="C21" s="256" t="s">
        <v>217</v>
      </c>
      <c r="D21" s="257"/>
      <c r="E21" s="258"/>
    </row>
    <row r="22" spans="1:10">
      <c r="A22" s="262" t="s">
        <v>452</v>
      </c>
      <c r="B22" s="262"/>
      <c r="C22" s="256" t="str">
        <f>UPPER(A22)</f>
        <v>GOOD</v>
      </c>
      <c r="D22" s="257"/>
      <c r="E22" s="258"/>
    </row>
    <row r="23" spans="1:10">
      <c r="A23" s="262" t="s">
        <v>453</v>
      </c>
      <c r="B23" s="262"/>
      <c r="C23" s="256" t="str">
        <f>UPPER(A23)</f>
        <v>HOW ARE YOU?</v>
      </c>
      <c r="D23" s="257"/>
      <c r="E23" s="258"/>
    </row>
    <row r="25" spans="1:10" ht="15.75">
      <c r="A25" s="73" t="s">
        <v>455</v>
      </c>
    </row>
    <row r="26" spans="1:10">
      <c r="A26" t="s">
        <v>460</v>
      </c>
    </row>
    <row r="27" spans="1:10">
      <c r="A27" s="116" t="s">
        <v>304</v>
      </c>
      <c r="B27" s="116" t="s">
        <v>305</v>
      </c>
      <c r="C27" s="245" t="s">
        <v>49</v>
      </c>
      <c r="D27" s="245"/>
    </row>
    <row r="28" spans="1:10">
      <c r="A28" s="117" t="s">
        <v>456</v>
      </c>
      <c r="B28" s="117" t="s">
        <v>182</v>
      </c>
      <c r="C28" s="246" t="b">
        <f>EXACT(UPPER(A28), B28)</f>
        <v>1</v>
      </c>
      <c r="D28" s="246"/>
    </row>
    <row r="29" spans="1:10">
      <c r="A29" s="117" t="s">
        <v>456</v>
      </c>
      <c r="B29" s="117" t="s">
        <v>457</v>
      </c>
      <c r="C29" s="246" t="b">
        <f>EXACT(UPPER(A29), B29)</f>
        <v>0</v>
      </c>
      <c r="D29" s="246"/>
    </row>
    <row r="30" spans="1:10">
      <c r="A30" s="117" t="s">
        <v>458</v>
      </c>
      <c r="B30" s="117" t="s">
        <v>459</v>
      </c>
      <c r="C30" s="246" t="b">
        <f t="shared" ref="C29:C30" si="0">EXACT(UPPER(A30), B30)</f>
        <v>0</v>
      </c>
      <c r="D30" s="246"/>
    </row>
  </sheetData>
  <mergeCells count="24">
    <mergeCell ref="E17:F17"/>
    <mergeCell ref="C15:D15"/>
    <mergeCell ref="C16:D16"/>
    <mergeCell ref="C17:D17"/>
    <mergeCell ref="A1:B1"/>
    <mergeCell ref="A4:J4"/>
    <mergeCell ref="E14:F14"/>
    <mergeCell ref="E15:F15"/>
    <mergeCell ref="E16:F16"/>
    <mergeCell ref="A14:B14"/>
    <mergeCell ref="A15:B15"/>
    <mergeCell ref="A16:B16"/>
    <mergeCell ref="A17:B17"/>
    <mergeCell ref="C14:D14"/>
    <mergeCell ref="C29:D29"/>
    <mergeCell ref="C30:D30"/>
    <mergeCell ref="A21:B21"/>
    <mergeCell ref="A22:B22"/>
    <mergeCell ref="A23:B23"/>
    <mergeCell ref="C27:D27"/>
    <mergeCell ref="C28:D28"/>
    <mergeCell ref="C21:E21"/>
    <mergeCell ref="C22:E22"/>
    <mergeCell ref="C23:E23"/>
  </mergeCells>
  <pageMargins left="0.7" right="0.7" top="0.75" bottom="0.75" header="0.3" footer="0.3"/>
  <pageSetup orientation="portrait" horizontalDpi="4294967293" verticalDpi="4294967293"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30"/>
  <sheetViews>
    <sheetView showGridLines="0" zoomScale="90" zoomScaleNormal="90" workbookViewId="0">
      <selection activeCell="F32" sqref="F32"/>
    </sheetView>
  </sheetViews>
  <sheetFormatPr defaultRowHeight="15"/>
  <cols>
    <col min="1" max="2" width="12.7109375" customWidth="1"/>
    <col min="3" max="3" width="10.140625" customWidth="1"/>
    <col min="4" max="4" width="15.5703125" customWidth="1"/>
    <col min="5" max="5" width="9.7109375"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165</v>
      </c>
      <c r="B1" s="259"/>
      <c r="C1" s="112"/>
      <c r="D1" s="76"/>
      <c r="E1" s="76"/>
      <c r="F1" s="76"/>
      <c r="G1" s="76"/>
      <c r="H1" s="76"/>
      <c r="I1" s="76"/>
      <c r="J1" s="76"/>
      <c r="K1" s="76"/>
      <c r="L1" s="76"/>
    </row>
    <row r="2" spans="1:12" ht="15.75" thickTop="1"/>
    <row r="3" spans="1:12" ht="18.75">
      <c r="A3" s="74" t="s">
        <v>203</v>
      </c>
    </row>
    <row r="4" spans="1:12">
      <c r="A4" s="260" t="s">
        <v>461</v>
      </c>
      <c r="B4" s="260"/>
      <c r="C4" s="260"/>
      <c r="D4" s="260"/>
      <c r="E4" s="260"/>
      <c r="F4" s="260"/>
      <c r="G4" s="260"/>
      <c r="H4" s="260"/>
      <c r="I4" s="260"/>
      <c r="J4" s="260"/>
    </row>
    <row r="5" spans="1:12">
      <c r="A5" s="118"/>
      <c r="B5" s="118"/>
      <c r="C5" s="118"/>
      <c r="D5" s="118"/>
      <c r="E5" s="118"/>
      <c r="F5" s="118"/>
      <c r="G5" s="118"/>
      <c r="H5" s="118"/>
      <c r="I5" s="118"/>
      <c r="J5" s="118"/>
    </row>
    <row r="6" spans="1:12" ht="18.75">
      <c r="A6" s="74" t="s">
        <v>24</v>
      </c>
    </row>
    <row r="7" spans="1:12" ht="15.75">
      <c r="A7" s="80" t="s">
        <v>462</v>
      </c>
    </row>
    <row r="9" spans="1:12" ht="15.75">
      <c r="A9" s="73" t="s">
        <v>145</v>
      </c>
    </row>
    <row r="10" spans="1:12">
      <c r="A10" t="s">
        <v>463</v>
      </c>
    </row>
    <row r="12" spans="1:12" ht="15.75">
      <c r="A12" s="73" t="s">
        <v>48</v>
      </c>
    </row>
    <row r="13" spans="1:12">
      <c r="A13" s="125" t="s">
        <v>464</v>
      </c>
    </row>
    <row r="14" spans="1:12">
      <c r="A14" s="245" t="s">
        <v>145</v>
      </c>
      <c r="B14" s="245"/>
      <c r="C14" s="245" t="s">
        <v>49</v>
      </c>
      <c r="D14" s="245"/>
      <c r="E14" s="256" t="s">
        <v>217</v>
      </c>
      <c r="F14" s="258"/>
    </row>
    <row r="15" spans="1:12">
      <c r="A15" s="262" t="s">
        <v>445</v>
      </c>
      <c r="B15" s="262"/>
      <c r="C15" s="246" t="str">
        <f>LOWER(A15)</f>
        <v>laptop</v>
      </c>
      <c r="D15" s="246"/>
      <c r="E15" s="230" t="s">
        <v>466</v>
      </c>
      <c r="F15" s="232"/>
    </row>
    <row r="16" spans="1:12" ht="15" customHeight="1">
      <c r="A16" s="262" t="s">
        <v>333</v>
      </c>
      <c r="B16" s="262"/>
      <c r="C16" s="246" t="str">
        <f t="shared" ref="C16:C17" si="0">LOWER(A16)</f>
        <v>excel</v>
      </c>
      <c r="D16" s="246"/>
      <c r="E16" s="230" t="s">
        <v>467</v>
      </c>
      <c r="F16" s="232"/>
    </row>
    <row r="17" spans="1:10">
      <c r="A17" s="262" t="s">
        <v>465</v>
      </c>
      <c r="B17" s="262"/>
      <c r="C17" s="246" t="str">
        <f t="shared" si="0"/>
        <v>superstore is closed now</v>
      </c>
      <c r="D17" s="246"/>
      <c r="E17" s="230" t="s">
        <v>468</v>
      </c>
      <c r="F17" s="232"/>
    </row>
    <row r="19" spans="1:10" ht="15.75">
      <c r="A19" s="73" t="s">
        <v>454</v>
      </c>
    </row>
    <row r="20" spans="1:10" ht="15" customHeight="1">
      <c r="A20" s="125" t="s">
        <v>464</v>
      </c>
      <c r="B20" s="114"/>
      <c r="C20" s="114"/>
      <c r="D20" s="114"/>
      <c r="E20" s="114"/>
      <c r="F20" s="114"/>
      <c r="G20" s="114"/>
      <c r="H20" s="114"/>
      <c r="I20" s="114"/>
      <c r="J20" s="114"/>
    </row>
    <row r="21" spans="1:10">
      <c r="A21" s="245" t="s">
        <v>145</v>
      </c>
      <c r="B21" s="245"/>
      <c r="C21" s="256" t="s">
        <v>217</v>
      </c>
      <c r="D21" s="257"/>
      <c r="E21" s="258"/>
    </row>
    <row r="22" spans="1:10">
      <c r="A22" s="262" t="s">
        <v>469</v>
      </c>
      <c r="B22" s="262"/>
      <c r="C22" s="256" t="str">
        <f>LOWER(A22)</f>
        <v>good</v>
      </c>
      <c r="D22" s="257"/>
      <c r="E22" s="258"/>
    </row>
    <row r="23" spans="1:10">
      <c r="A23" s="262" t="s">
        <v>470</v>
      </c>
      <c r="B23" s="262"/>
      <c r="C23" s="256" t="str">
        <f>LOWER(A23)</f>
        <v>how are you?</v>
      </c>
      <c r="D23" s="257"/>
      <c r="E23" s="258"/>
    </row>
    <row r="25" spans="1:10" ht="15.75">
      <c r="A25" s="73" t="s">
        <v>455</v>
      </c>
    </row>
    <row r="26" spans="1:10">
      <c r="A26" t="s">
        <v>471</v>
      </c>
    </row>
    <row r="27" spans="1:10">
      <c r="A27" s="116" t="s">
        <v>304</v>
      </c>
      <c r="B27" s="116" t="s">
        <v>305</v>
      </c>
      <c r="C27" s="245" t="s">
        <v>49</v>
      </c>
      <c r="D27" s="245"/>
    </row>
    <row r="28" spans="1:10">
      <c r="A28" s="117" t="s">
        <v>182</v>
      </c>
      <c r="B28" s="117" t="s">
        <v>456</v>
      </c>
      <c r="C28" s="246" t="b">
        <f>EXACT(LOWER(A28), B28)</f>
        <v>1</v>
      </c>
      <c r="D28" s="246"/>
    </row>
    <row r="29" spans="1:10">
      <c r="A29" s="117" t="s">
        <v>182</v>
      </c>
      <c r="B29" s="117" t="s">
        <v>472</v>
      </c>
      <c r="C29" s="246" t="b">
        <f t="shared" ref="C29:C30" si="1">EXACT(LOWER(A29), B29)</f>
        <v>0</v>
      </c>
      <c r="D29" s="246"/>
    </row>
    <row r="30" spans="1:10">
      <c r="A30" s="117" t="s">
        <v>459</v>
      </c>
      <c r="B30" s="117" t="s">
        <v>458</v>
      </c>
      <c r="C30" s="246" t="b">
        <f t="shared" si="1"/>
        <v>0</v>
      </c>
      <c r="D30" s="246"/>
    </row>
  </sheetData>
  <mergeCells count="24">
    <mergeCell ref="A15:B15"/>
    <mergeCell ref="C15:D15"/>
    <mergeCell ref="E15:F15"/>
    <mergeCell ref="A1:B1"/>
    <mergeCell ref="A4:J4"/>
    <mergeCell ref="A14:B14"/>
    <mergeCell ref="C14:D14"/>
    <mergeCell ref="E14:F14"/>
    <mergeCell ref="A16:B16"/>
    <mergeCell ref="C16:D16"/>
    <mergeCell ref="E16:F16"/>
    <mergeCell ref="A17:B17"/>
    <mergeCell ref="C17:D17"/>
    <mergeCell ref="E17:F17"/>
    <mergeCell ref="C27:D27"/>
    <mergeCell ref="C28:D28"/>
    <mergeCell ref="C29:D29"/>
    <mergeCell ref="C30:D30"/>
    <mergeCell ref="A21:B21"/>
    <mergeCell ref="C21:E21"/>
    <mergeCell ref="A22:B22"/>
    <mergeCell ref="C22:E22"/>
    <mergeCell ref="A23:B23"/>
    <mergeCell ref="C23:E23"/>
  </mergeCells>
  <pageMargins left="0.7" right="0.7" top="0.75" bottom="0.75" header="0.3" footer="0.3"/>
  <pageSetup orientation="portrait" horizontalDpi="4294967293" verticalDpi="4294967293"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5"/>
  <sheetViews>
    <sheetView showGridLines="0" zoomScale="90" zoomScaleNormal="90" workbookViewId="0">
      <selection activeCell="G29" sqref="G29"/>
    </sheetView>
  </sheetViews>
  <sheetFormatPr defaultRowHeight="15"/>
  <cols>
    <col min="1" max="2" width="12.7109375" customWidth="1"/>
    <col min="3" max="3" width="10.140625" customWidth="1"/>
    <col min="4" max="4" width="15.5703125" customWidth="1"/>
    <col min="5" max="5" width="9.7109375"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168</v>
      </c>
      <c r="B1" s="259"/>
      <c r="C1" s="112"/>
      <c r="D1" s="76"/>
      <c r="E1" s="76"/>
      <c r="F1" s="76"/>
      <c r="G1" s="76"/>
      <c r="H1" s="76"/>
      <c r="I1" s="76"/>
      <c r="J1" s="76"/>
      <c r="K1" s="76"/>
      <c r="L1" s="76"/>
    </row>
    <row r="2" spans="1:12" ht="15.75" thickTop="1"/>
    <row r="3" spans="1:12" ht="18.75">
      <c r="A3" s="74" t="s">
        <v>203</v>
      </c>
    </row>
    <row r="4" spans="1:12" ht="15" customHeight="1">
      <c r="A4" s="260" t="s">
        <v>483</v>
      </c>
      <c r="B4" s="260"/>
      <c r="C4" s="260"/>
      <c r="D4" s="260"/>
      <c r="E4" s="260"/>
      <c r="F4" s="260"/>
      <c r="G4" s="260"/>
      <c r="H4" s="260"/>
      <c r="I4" s="260"/>
      <c r="J4" s="260"/>
    </row>
    <row r="5" spans="1:12">
      <c r="A5" s="260"/>
      <c r="B5" s="260"/>
      <c r="C5" s="260"/>
      <c r="D5" s="260"/>
      <c r="E5" s="260"/>
      <c r="F5" s="260"/>
      <c r="G5" s="260"/>
      <c r="H5" s="260"/>
      <c r="I5" s="260"/>
      <c r="J5" s="260"/>
    </row>
    <row r="6" spans="1:12">
      <c r="A6" s="118"/>
      <c r="B6" s="118"/>
      <c r="C6" s="118"/>
      <c r="D6" s="118"/>
      <c r="E6" s="118"/>
      <c r="F6" s="118"/>
      <c r="G6" s="118"/>
      <c r="H6" s="118"/>
      <c r="I6" s="118"/>
      <c r="J6" s="118"/>
    </row>
    <row r="7" spans="1:12" ht="18.75">
      <c r="A7" s="74" t="s">
        <v>24</v>
      </c>
    </row>
    <row r="8" spans="1:12" ht="15.75">
      <c r="A8" s="80" t="s">
        <v>473</v>
      </c>
    </row>
    <row r="10" spans="1:12" ht="15.75">
      <c r="A10" s="73" t="s">
        <v>145</v>
      </c>
    </row>
    <row r="11" spans="1:12">
      <c r="A11" t="s">
        <v>474</v>
      </c>
    </row>
    <row r="13" spans="1:12" ht="15.75">
      <c r="A13" s="73" t="s">
        <v>48</v>
      </c>
    </row>
    <row r="14" spans="1:12">
      <c r="A14" s="125" t="s">
        <v>464</v>
      </c>
    </row>
    <row r="15" spans="1:12">
      <c r="A15" s="245" t="s">
        <v>145</v>
      </c>
      <c r="B15" s="245"/>
      <c r="C15" s="245" t="s">
        <v>49</v>
      </c>
      <c r="D15" s="245"/>
      <c r="E15" s="256" t="s">
        <v>217</v>
      </c>
      <c r="F15" s="258"/>
    </row>
    <row r="16" spans="1:12">
      <c r="A16" s="262" t="s">
        <v>445</v>
      </c>
      <c r="B16" s="262"/>
      <c r="C16" s="246">
        <f>LEN(A16)</f>
        <v>6</v>
      </c>
      <c r="D16" s="246"/>
      <c r="E16" s="230" t="s">
        <v>477</v>
      </c>
      <c r="F16" s="232"/>
    </row>
    <row r="17" spans="1:10" ht="15" customHeight="1">
      <c r="A17" s="262" t="s">
        <v>475</v>
      </c>
      <c r="B17" s="262"/>
      <c r="C17" s="246">
        <f>LEN(A17)</f>
        <v>6</v>
      </c>
      <c r="D17" s="246"/>
      <c r="E17" s="230" t="s">
        <v>478</v>
      </c>
      <c r="F17" s="232"/>
    </row>
    <row r="18" spans="1:10">
      <c r="A18" s="262" t="s">
        <v>476</v>
      </c>
      <c r="B18" s="262"/>
      <c r="C18" s="246">
        <f>LEN(A18)</f>
        <v>22</v>
      </c>
      <c r="D18" s="246"/>
      <c r="E18" s="230" t="s">
        <v>479</v>
      </c>
      <c r="F18" s="232"/>
    </row>
    <row r="19" spans="1:10">
      <c r="A19" s="262">
        <v>90</v>
      </c>
      <c r="B19" s="262"/>
      <c r="C19" s="246">
        <f>LEN(A19)</f>
        <v>2</v>
      </c>
      <c r="D19" s="246"/>
      <c r="E19" s="230" t="s">
        <v>484</v>
      </c>
      <c r="F19" s="232"/>
    </row>
    <row r="20" spans="1:10">
      <c r="A20" s="126"/>
      <c r="B20" s="126"/>
      <c r="C20" s="126"/>
      <c r="D20" s="126"/>
    </row>
    <row r="21" spans="1:10" ht="15.75">
      <c r="A21" s="73" t="s">
        <v>454</v>
      </c>
    </row>
    <row r="22" spans="1:10" ht="15" customHeight="1">
      <c r="A22" s="125" t="s">
        <v>480</v>
      </c>
      <c r="B22" s="114"/>
      <c r="C22" s="114"/>
      <c r="D22" s="114"/>
      <c r="E22" s="114"/>
      <c r="F22" s="114"/>
      <c r="G22" s="114"/>
      <c r="H22" s="114"/>
      <c r="I22" s="114"/>
      <c r="J22" s="114"/>
    </row>
    <row r="23" spans="1:10">
      <c r="A23" s="245" t="s">
        <v>145</v>
      </c>
      <c r="B23" s="245"/>
      <c r="C23" s="256" t="s">
        <v>217</v>
      </c>
      <c r="D23" s="257"/>
      <c r="E23" s="258"/>
    </row>
    <row r="24" spans="1:10">
      <c r="A24" s="262" t="s">
        <v>481</v>
      </c>
      <c r="B24" s="262"/>
      <c r="C24" s="256">
        <f>LEN(A24)</f>
        <v>24</v>
      </c>
      <c r="D24" s="257"/>
      <c r="E24" s="258"/>
    </row>
    <row r="25" spans="1:10">
      <c r="A25" s="262" t="s">
        <v>482</v>
      </c>
      <c r="B25" s="262"/>
      <c r="C25" s="256">
        <f>LEN(A25)</f>
        <v>30</v>
      </c>
      <c r="D25" s="257"/>
      <c r="E25" s="258"/>
    </row>
  </sheetData>
  <mergeCells count="23">
    <mergeCell ref="A1:B1"/>
    <mergeCell ref="A15:B15"/>
    <mergeCell ref="C15:D15"/>
    <mergeCell ref="E15:F15"/>
    <mergeCell ref="A16:B16"/>
    <mergeCell ref="C16:D16"/>
    <mergeCell ref="E16:F16"/>
    <mergeCell ref="A4:J5"/>
    <mergeCell ref="A24:B24"/>
    <mergeCell ref="C24:E24"/>
    <mergeCell ref="A25:B25"/>
    <mergeCell ref="C25:E25"/>
    <mergeCell ref="A17:B17"/>
    <mergeCell ref="C17:D17"/>
    <mergeCell ref="E17:F17"/>
    <mergeCell ref="A18:B18"/>
    <mergeCell ref="C18:D18"/>
    <mergeCell ref="E18:F18"/>
    <mergeCell ref="E19:F19"/>
    <mergeCell ref="C19:D19"/>
    <mergeCell ref="A19:B19"/>
    <mergeCell ref="A23:B23"/>
    <mergeCell ref="C23:E23"/>
  </mergeCells>
  <pageMargins left="0.7" right="0.7" top="0.75" bottom="0.75" header="0.3" footer="0.3"/>
  <pageSetup orientation="portrait" horizontalDpi="4294967293" verticalDpi="4294967293"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35"/>
  <sheetViews>
    <sheetView showGridLines="0" zoomScale="90" zoomScaleNormal="90" workbookViewId="0">
      <selection activeCell="I34" sqref="I34"/>
    </sheetView>
  </sheetViews>
  <sheetFormatPr defaultRowHeight="15"/>
  <cols>
    <col min="1" max="2" width="12.7109375" customWidth="1"/>
    <col min="3" max="3" width="10.140625" customWidth="1"/>
    <col min="4" max="4" width="15.5703125" customWidth="1"/>
    <col min="5" max="5" width="9.7109375" customWidth="1"/>
    <col min="6" max="6" width="11"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152</v>
      </c>
      <c r="B1" s="259"/>
      <c r="C1" s="112"/>
      <c r="D1" s="76"/>
      <c r="E1" s="76"/>
      <c r="F1" s="76"/>
      <c r="G1" s="76"/>
      <c r="H1" s="76"/>
      <c r="I1" s="76"/>
      <c r="J1" s="76"/>
      <c r="K1" s="76"/>
      <c r="L1" s="76"/>
    </row>
    <row r="2" spans="1:12" ht="15.75" thickTop="1"/>
    <row r="3" spans="1:12" ht="18.75">
      <c r="A3" s="74" t="s">
        <v>203</v>
      </c>
    </row>
    <row r="4" spans="1:12" ht="15" customHeight="1">
      <c r="A4" s="260" t="s">
        <v>487</v>
      </c>
      <c r="B4" s="260"/>
      <c r="C4" s="260"/>
      <c r="D4" s="260"/>
      <c r="E4" s="260"/>
      <c r="F4" s="260"/>
      <c r="G4" s="260"/>
      <c r="H4" s="260"/>
      <c r="I4" s="260"/>
      <c r="J4" s="260"/>
    </row>
    <row r="5" spans="1:12">
      <c r="A5" s="260"/>
      <c r="B5" s="260"/>
      <c r="C5" s="260"/>
      <c r="D5" s="260"/>
      <c r="E5" s="260"/>
      <c r="F5" s="260"/>
      <c r="G5" s="260"/>
      <c r="H5" s="260"/>
      <c r="I5" s="260"/>
      <c r="J5" s="260"/>
    </row>
    <row r="6" spans="1:12">
      <c r="A6" s="118"/>
      <c r="B6" s="118"/>
      <c r="C6" s="118"/>
      <c r="D6" s="118"/>
      <c r="E6" s="118"/>
      <c r="F6" s="118"/>
      <c r="G6" s="118"/>
      <c r="H6" s="118"/>
      <c r="I6" s="118"/>
      <c r="J6" s="118"/>
    </row>
    <row r="7" spans="1:12" ht="18.75">
      <c r="A7" s="74" t="s">
        <v>24</v>
      </c>
    </row>
    <row r="8" spans="1:12" ht="15.75">
      <c r="A8" s="80" t="s">
        <v>485</v>
      </c>
    </row>
    <row r="10" spans="1:12" ht="15.75">
      <c r="A10" s="73" t="s">
        <v>145</v>
      </c>
    </row>
    <row r="11" spans="1:12">
      <c r="A11" t="s">
        <v>499</v>
      </c>
    </row>
    <row r="13" spans="1:12" ht="15.75">
      <c r="A13" s="73" t="s">
        <v>486</v>
      </c>
    </row>
    <row r="14" spans="1:12">
      <c r="A14" t="s">
        <v>500</v>
      </c>
    </row>
    <row r="16" spans="1:12" ht="15.75">
      <c r="A16" s="73" t="s">
        <v>48</v>
      </c>
    </row>
    <row r="17" spans="1:10">
      <c r="A17" s="125" t="s">
        <v>488</v>
      </c>
    </row>
    <row r="18" spans="1:10">
      <c r="A18" s="245" t="s">
        <v>145</v>
      </c>
      <c r="B18" s="245"/>
      <c r="C18" s="245" t="s">
        <v>49</v>
      </c>
      <c r="D18" s="245"/>
      <c r="E18" s="256" t="s">
        <v>217</v>
      </c>
      <c r="F18" s="258"/>
    </row>
    <row r="19" spans="1:10">
      <c r="A19" s="262" t="s">
        <v>445</v>
      </c>
      <c r="B19" s="262"/>
      <c r="C19" s="246" t="str">
        <f>LEFT(A19,5)</f>
        <v>Lapto</v>
      </c>
      <c r="D19" s="246"/>
      <c r="E19" s="230" t="s">
        <v>490</v>
      </c>
      <c r="F19" s="232"/>
    </row>
    <row r="20" spans="1:10" ht="15" customHeight="1">
      <c r="A20" s="262" t="s">
        <v>489</v>
      </c>
      <c r="B20" s="262"/>
      <c r="C20" s="246" t="str">
        <f>LEFT(A20,8)</f>
        <v>EXCEL IS</v>
      </c>
      <c r="D20" s="246"/>
      <c r="E20" s="230" t="s">
        <v>491</v>
      </c>
      <c r="F20" s="232"/>
    </row>
    <row r="21" spans="1:10">
      <c r="A21" s="262" t="s">
        <v>476</v>
      </c>
      <c r="B21" s="262"/>
      <c r="C21" s="246" t="str">
        <f>LEFT(A21,15)</f>
        <v>SUPERSTORE IS C</v>
      </c>
      <c r="D21" s="246"/>
      <c r="E21" s="230" t="s">
        <v>492</v>
      </c>
      <c r="F21" s="232"/>
    </row>
    <row r="22" spans="1:10">
      <c r="A22" s="262">
        <v>90</v>
      </c>
      <c r="B22" s="262"/>
      <c r="C22" s="246" t="str">
        <f>LEFT(A22,1)</f>
        <v>9</v>
      </c>
      <c r="D22" s="246"/>
      <c r="E22" s="230" t="s">
        <v>493</v>
      </c>
      <c r="F22" s="232"/>
    </row>
    <row r="23" spans="1:10">
      <c r="A23" s="262" t="s">
        <v>476</v>
      </c>
      <c r="B23" s="262"/>
      <c r="C23" s="246" t="str">
        <f>LEFT(A23,LEN(A23)-7)</f>
        <v>SUPERSTORE IS C</v>
      </c>
      <c r="D23" s="246"/>
      <c r="E23" s="230" t="s">
        <v>543</v>
      </c>
      <c r="F23" s="232"/>
    </row>
    <row r="24" spans="1:10">
      <c r="A24" s="126"/>
      <c r="B24" s="126"/>
      <c r="C24" s="126"/>
      <c r="D24" s="126"/>
    </row>
    <row r="25" spans="1:10" ht="15.75">
      <c r="A25" s="73" t="s">
        <v>454</v>
      </c>
    </row>
    <row r="26" spans="1:10" ht="15" customHeight="1">
      <c r="A26" s="125" t="s">
        <v>496</v>
      </c>
      <c r="B26" s="114"/>
      <c r="C26" s="114"/>
      <c r="D26" s="114"/>
      <c r="E26" s="114"/>
      <c r="F26" s="114"/>
      <c r="G26" s="114"/>
      <c r="H26" s="114"/>
      <c r="I26" s="114"/>
      <c r="J26" s="114"/>
    </row>
    <row r="27" spans="1:10">
      <c r="A27" s="245" t="s">
        <v>145</v>
      </c>
      <c r="B27" s="245"/>
      <c r="C27" s="263" t="s">
        <v>49</v>
      </c>
      <c r="D27" s="263"/>
      <c r="E27" s="256" t="s">
        <v>217</v>
      </c>
      <c r="F27" s="257"/>
      <c r="G27" s="258"/>
    </row>
    <row r="28" spans="1:10">
      <c r="A28" s="262" t="s">
        <v>481</v>
      </c>
      <c r="B28" s="262"/>
      <c r="C28" s="246" t="s">
        <v>494</v>
      </c>
      <c r="D28" s="246"/>
      <c r="E28" s="256" t="str">
        <f>LEFT(A28, 19)</f>
        <v>Phone Number is +(0</v>
      </c>
      <c r="F28" s="257"/>
      <c r="G28" s="258"/>
    </row>
    <row r="29" spans="1:10">
      <c r="A29" s="262" t="s">
        <v>482</v>
      </c>
      <c r="B29" s="262"/>
      <c r="C29" s="246" t="s">
        <v>495</v>
      </c>
      <c r="D29" s="246"/>
      <c r="E29" s="256" t="str">
        <f>LEFT(A29, 25)</f>
        <v>This is used for data cle</v>
      </c>
      <c r="F29" s="257"/>
      <c r="G29" s="258"/>
    </row>
    <row r="31" spans="1:10" ht="15.75">
      <c r="A31" s="73" t="s">
        <v>455</v>
      </c>
    </row>
    <row r="32" spans="1:10" ht="15" customHeight="1">
      <c r="A32" s="125" t="s">
        <v>544</v>
      </c>
      <c r="B32" s="114"/>
      <c r="C32" s="114"/>
      <c r="D32" s="114"/>
      <c r="E32" s="114"/>
      <c r="F32" s="114"/>
      <c r="G32" s="114"/>
      <c r="H32" s="114"/>
      <c r="I32" s="114"/>
      <c r="J32" s="114"/>
    </row>
    <row r="33" spans="1:7">
      <c r="A33" s="245" t="s">
        <v>145</v>
      </c>
      <c r="B33" s="245"/>
      <c r="C33" s="263" t="s">
        <v>49</v>
      </c>
      <c r="D33" s="263"/>
      <c r="E33" s="256" t="s">
        <v>217</v>
      </c>
      <c r="F33" s="257"/>
      <c r="G33" s="258"/>
    </row>
    <row r="34" spans="1:7">
      <c r="A34" s="262" t="s">
        <v>481</v>
      </c>
      <c r="B34" s="262"/>
      <c r="C34" s="246" t="s">
        <v>494</v>
      </c>
      <c r="D34" s="246"/>
      <c r="E34" s="256" t="str">
        <f>LEFT(A34, LEN(A34)-5)</f>
        <v>Phone Number is +(0</v>
      </c>
      <c r="F34" s="257"/>
      <c r="G34" s="258"/>
    </row>
    <row r="35" spans="1:7">
      <c r="A35" s="262" t="s">
        <v>482</v>
      </c>
      <c r="B35" s="262"/>
      <c r="C35" s="246" t="s">
        <v>495</v>
      </c>
      <c r="D35" s="246"/>
      <c r="E35" s="256" t="str">
        <f>LEFT(A35, LEN(A35)-5)</f>
        <v>This is used for data cle</v>
      </c>
      <c r="F35" s="257"/>
      <c r="G35" s="258"/>
    </row>
  </sheetData>
  <mergeCells count="38">
    <mergeCell ref="A19:B19"/>
    <mergeCell ref="C19:D19"/>
    <mergeCell ref="E19:F19"/>
    <mergeCell ref="A23:B23"/>
    <mergeCell ref="C23:D23"/>
    <mergeCell ref="E23:F23"/>
    <mergeCell ref="A20:B20"/>
    <mergeCell ref="C20:D20"/>
    <mergeCell ref="E20:F20"/>
    <mergeCell ref="A21:B21"/>
    <mergeCell ref="C21:D21"/>
    <mergeCell ref="E21:F21"/>
    <mergeCell ref="A1:B1"/>
    <mergeCell ref="A4:J5"/>
    <mergeCell ref="A18:B18"/>
    <mergeCell ref="C18:D18"/>
    <mergeCell ref="E18:F18"/>
    <mergeCell ref="A33:B33"/>
    <mergeCell ref="C33:D33"/>
    <mergeCell ref="E33:G33"/>
    <mergeCell ref="A22:B22"/>
    <mergeCell ref="C22:D22"/>
    <mergeCell ref="E22:F22"/>
    <mergeCell ref="A27:B27"/>
    <mergeCell ref="E27:G27"/>
    <mergeCell ref="A28:B28"/>
    <mergeCell ref="E28:G28"/>
    <mergeCell ref="A29:B29"/>
    <mergeCell ref="E29:G29"/>
    <mergeCell ref="C27:D27"/>
    <mergeCell ref="C28:D28"/>
    <mergeCell ref="C29:D29"/>
    <mergeCell ref="A34:B34"/>
    <mergeCell ref="C34:D34"/>
    <mergeCell ref="E34:G34"/>
    <mergeCell ref="A35:B35"/>
    <mergeCell ref="C35:D35"/>
    <mergeCell ref="E35:G35"/>
  </mergeCells>
  <pageMargins left="0.7" right="0.7" top="0.75" bottom="0.75" header="0.3" footer="0.3"/>
  <pageSetup orientation="portrait" horizontalDpi="4294967293" verticalDpi="4294967293"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35"/>
  <sheetViews>
    <sheetView showGridLines="0" zoomScale="90" zoomScaleNormal="90" workbookViewId="0">
      <selection activeCell="H37" sqref="H37"/>
    </sheetView>
  </sheetViews>
  <sheetFormatPr defaultRowHeight="15"/>
  <cols>
    <col min="1" max="2" width="12.7109375" customWidth="1"/>
    <col min="3" max="3" width="10.140625" customWidth="1"/>
    <col min="4" max="4" width="15.5703125" customWidth="1"/>
    <col min="5" max="6" width="12.28515625"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166</v>
      </c>
      <c r="B1" s="259"/>
      <c r="C1" s="112"/>
      <c r="D1" s="76"/>
      <c r="E1" s="76"/>
      <c r="F1" s="76"/>
      <c r="G1" s="76"/>
      <c r="H1" s="76"/>
      <c r="I1" s="76"/>
      <c r="J1" s="76"/>
      <c r="K1" s="76"/>
      <c r="L1" s="76"/>
    </row>
    <row r="2" spans="1:12" ht="15.75" thickTop="1"/>
    <row r="3" spans="1:12" ht="18.75">
      <c r="A3" s="74" t="s">
        <v>203</v>
      </c>
    </row>
    <row r="4" spans="1:12" ht="15" customHeight="1">
      <c r="A4" s="260" t="s">
        <v>498</v>
      </c>
      <c r="B4" s="260"/>
      <c r="C4" s="260"/>
      <c r="D4" s="260"/>
      <c r="E4" s="260"/>
      <c r="F4" s="260"/>
      <c r="G4" s="260"/>
      <c r="H4" s="260"/>
      <c r="I4" s="260"/>
      <c r="J4" s="260"/>
    </row>
    <row r="5" spans="1:12">
      <c r="A5" s="260"/>
      <c r="B5" s="260"/>
      <c r="C5" s="260"/>
      <c r="D5" s="260"/>
      <c r="E5" s="260"/>
      <c r="F5" s="260"/>
      <c r="G5" s="260"/>
      <c r="H5" s="260"/>
      <c r="I5" s="260"/>
      <c r="J5" s="260"/>
    </row>
    <row r="6" spans="1:12">
      <c r="A6" s="122"/>
      <c r="B6" s="122"/>
      <c r="C6" s="122"/>
      <c r="D6" s="122"/>
      <c r="E6" s="122"/>
      <c r="F6" s="122"/>
      <c r="G6" s="122"/>
      <c r="H6" s="122"/>
      <c r="I6" s="122"/>
      <c r="J6" s="122"/>
    </row>
    <row r="7" spans="1:12" ht="18.75">
      <c r="A7" s="74" t="s">
        <v>24</v>
      </c>
    </row>
    <row r="8" spans="1:12" ht="15.75">
      <c r="A8" s="80" t="s">
        <v>497</v>
      </c>
    </row>
    <row r="10" spans="1:12" ht="15.75">
      <c r="A10" s="73" t="s">
        <v>145</v>
      </c>
    </row>
    <row r="11" spans="1:12">
      <c r="A11" t="s">
        <v>499</v>
      </c>
    </row>
    <row r="13" spans="1:12" ht="15.75">
      <c r="A13" s="73" t="s">
        <v>486</v>
      </c>
    </row>
    <row r="14" spans="1:12">
      <c r="A14" t="s">
        <v>500</v>
      </c>
    </row>
    <row r="16" spans="1:12" ht="15.75">
      <c r="A16" s="73" t="s">
        <v>48</v>
      </c>
    </row>
    <row r="17" spans="1:10">
      <c r="A17" s="125" t="s">
        <v>501</v>
      </c>
    </row>
    <row r="18" spans="1:10">
      <c r="A18" s="245" t="s">
        <v>145</v>
      </c>
      <c r="B18" s="245"/>
      <c r="C18" s="245" t="s">
        <v>49</v>
      </c>
      <c r="D18" s="245"/>
      <c r="E18" s="256" t="s">
        <v>217</v>
      </c>
      <c r="F18" s="258"/>
    </row>
    <row r="19" spans="1:10">
      <c r="A19" s="262" t="s">
        <v>445</v>
      </c>
      <c r="B19" s="262"/>
      <c r="C19" s="246" t="str">
        <f>RIGHT(A19,3)</f>
        <v>top</v>
      </c>
      <c r="D19" s="246"/>
      <c r="E19" s="230" t="s">
        <v>502</v>
      </c>
      <c r="F19" s="232"/>
    </row>
    <row r="20" spans="1:10" ht="15" customHeight="1">
      <c r="A20" s="262" t="s">
        <v>489</v>
      </c>
      <c r="B20" s="262"/>
      <c r="C20" s="246" t="str">
        <f>RIGHT(A20,4)</f>
        <v xml:space="preserve"> WOW</v>
      </c>
      <c r="D20" s="246"/>
      <c r="E20" s="230" t="s">
        <v>503</v>
      </c>
      <c r="F20" s="232"/>
    </row>
    <row r="21" spans="1:10">
      <c r="A21" s="262" t="s">
        <v>476</v>
      </c>
      <c r="B21" s="262"/>
      <c r="C21" s="246" t="str">
        <f>RIGHT(A21,6)</f>
        <v>OSED ;</v>
      </c>
      <c r="D21" s="246"/>
      <c r="E21" s="230" t="s">
        <v>504</v>
      </c>
      <c r="F21" s="232"/>
    </row>
    <row r="22" spans="1:10">
      <c r="A22" s="262">
        <v>90</v>
      </c>
      <c r="B22" s="262"/>
      <c r="C22" s="246" t="str">
        <f>RIGHT(A22,1)</f>
        <v>0</v>
      </c>
      <c r="D22" s="246"/>
      <c r="E22" s="230" t="s">
        <v>505</v>
      </c>
      <c r="F22" s="232"/>
    </row>
    <row r="23" spans="1:10">
      <c r="A23" s="262" t="s">
        <v>476</v>
      </c>
      <c r="B23" s="262"/>
      <c r="C23" s="246" t="str">
        <f>RIGHT(A23,LEN(A23)-16)</f>
        <v>OSED ;</v>
      </c>
      <c r="D23" s="246"/>
      <c r="E23" s="230" t="s">
        <v>546</v>
      </c>
      <c r="F23" s="232"/>
    </row>
    <row r="24" spans="1:10">
      <c r="A24" s="126"/>
      <c r="B24" s="126"/>
      <c r="C24" s="126"/>
      <c r="D24" s="126"/>
    </row>
    <row r="25" spans="1:10" ht="15.75">
      <c r="A25" s="73" t="s">
        <v>454</v>
      </c>
    </row>
    <row r="26" spans="1:10" ht="15" customHeight="1">
      <c r="A26" s="125" t="s">
        <v>506</v>
      </c>
      <c r="B26" s="119"/>
      <c r="C26" s="119"/>
      <c r="D26" s="119"/>
      <c r="E26" s="119"/>
      <c r="F26" s="119"/>
      <c r="G26" s="119"/>
      <c r="H26" s="119"/>
      <c r="I26" s="119"/>
      <c r="J26" s="119"/>
    </row>
    <row r="27" spans="1:10">
      <c r="A27" s="245" t="s">
        <v>145</v>
      </c>
      <c r="B27" s="245"/>
      <c r="C27" s="263" t="s">
        <v>49</v>
      </c>
      <c r="D27" s="263"/>
      <c r="E27" s="256" t="s">
        <v>217</v>
      </c>
      <c r="F27" s="257"/>
      <c r="G27" s="258"/>
    </row>
    <row r="28" spans="1:10">
      <c r="A28" s="262" t="s">
        <v>481</v>
      </c>
      <c r="B28" s="262"/>
      <c r="C28" s="246" t="s">
        <v>508</v>
      </c>
      <c r="D28" s="246"/>
      <c r="E28" s="256" t="str">
        <f>RIGHT(A28, 11)</f>
        <v>is +(0)1234</v>
      </c>
      <c r="F28" s="257"/>
      <c r="G28" s="258"/>
    </row>
    <row r="29" spans="1:10">
      <c r="A29" s="262" t="s">
        <v>482</v>
      </c>
      <c r="B29" s="262"/>
      <c r="C29" s="246" t="s">
        <v>507</v>
      </c>
      <c r="D29" s="246"/>
      <c r="E29" s="256" t="str">
        <f>RIGHT(A29, 13)</f>
        <v>data cleaning</v>
      </c>
      <c r="F29" s="257"/>
      <c r="G29" s="258"/>
    </row>
    <row r="31" spans="1:10" ht="15.75">
      <c r="A31" s="73" t="s">
        <v>455</v>
      </c>
    </row>
    <row r="32" spans="1:10" ht="15" customHeight="1">
      <c r="A32" s="125" t="s">
        <v>545</v>
      </c>
      <c r="B32" s="119"/>
      <c r="C32" s="119"/>
      <c r="D32" s="119"/>
      <c r="E32" s="119"/>
      <c r="F32" s="119"/>
      <c r="G32" s="119"/>
      <c r="H32" s="119"/>
      <c r="I32" s="119"/>
      <c r="J32" s="119"/>
    </row>
    <row r="33" spans="1:7">
      <c r="A33" s="245" t="s">
        <v>145</v>
      </c>
      <c r="B33" s="245"/>
      <c r="C33" s="263" t="s">
        <v>49</v>
      </c>
      <c r="D33" s="263"/>
      <c r="E33" s="256" t="s">
        <v>217</v>
      </c>
      <c r="F33" s="257"/>
      <c r="G33" s="258"/>
    </row>
    <row r="34" spans="1:7">
      <c r="A34" s="262" t="s">
        <v>481</v>
      </c>
      <c r="B34" s="262"/>
      <c r="C34" s="246" t="s">
        <v>509</v>
      </c>
      <c r="D34" s="246"/>
      <c r="E34" s="256" t="str">
        <f>RIGHT(A34,LEN(A34)-6)</f>
        <v>Number is +(0)1234</v>
      </c>
      <c r="F34" s="257"/>
      <c r="G34" s="258"/>
    </row>
    <row r="35" spans="1:7">
      <c r="A35" s="262" t="s">
        <v>482</v>
      </c>
      <c r="B35" s="262"/>
      <c r="C35" s="246" t="s">
        <v>510</v>
      </c>
      <c r="D35" s="246"/>
      <c r="E35" s="256" t="str">
        <f>RIGHT(A35,LEN(A35)-5)</f>
        <v>is used for data cleaning</v>
      </c>
      <c r="F35" s="257"/>
      <c r="G35" s="258"/>
    </row>
  </sheetData>
  <mergeCells count="38">
    <mergeCell ref="A35:B35"/>
    <mergeCell ref="C35:D35"/>
    <mergeCell ref="E35:G35"/>
    <mergeCell ref="A23:B23"/>
    <mergeCell ref="C23:D23"/>
    <mergeCell ref="E23:F23"/>
    <mergeCell ref="A33:B33"/>
    <mergeCell ref="C33:D33"/>
    <mergeCell ref="E33:G33"/>
    <mergeCell ref="A34:B34"/>
    <mergeCell ref="C34:D34"/>
    <mergeCell ref="E34:G34"/>
    <mergeCell ref="A28:B28"/>
    <mergeCell ref="C28:D28"/>
    <mergeCell ref="E28:G28"/>
    <mergeCell ref="A29:B29"/>
    <mergeCell ref="C29:D29"/>
    <mergeCell ref="E29:G29"/>
    <mergeCell ref="A22:B22"/>
    <mergeCell ref="C22:D22"/>
    <mergeCell ref="E22:F22"/>
    <mergeCell ref="A27:B27"/>
    <mergeCell ref="C27:D27"/>
    <mergeCell ref="E27:G27"/>
    <mergeCell ref="A20:B20"/>
    <mergeCell ref="C20:D20"/>
    <mergeCell ref="E20:F20"/>
    <mergeCell ref="A21:B21"/>
    <mergeCell ref="C21:D21"/>
    <mergeCell ref="E21:F21"/>
    <mergeCell ref="A19:B19"/>
    <mergeCell ref="C19:D19"/>
    <mergeCell ref="E19:F19"/>
    <mergeCell ref="A1:B1"/>
    <mergeCell ref="A4:J5"/>
    <mergeCell ref="A18:B18"/>
    <mergeCell ref="C18:D18"/>
    <mergeCell ref="E18:F18"/>
  </mergeCells>
  <pageMargins left="0.7" right="0.7" top="0.75" bottom="0.75" header="0.3" footer="0.3"/>
  <pageSetup orientation="portrait" horizontalDpi="4294967293" vertic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L33"/>
  <sheetViews>
    <sheetView showGridLines="0" zoomScale="90" zoomScaleNormal="90" workbookViewId="0">
      <selection activeCell="E34" sqref="E34"/>
    </sheetView>
  </sheetViews>
  <sheetFormatPr defaultRowHeight="15"/>
  <cols>
    <col min="1" max="2" width="12.7109375" customWidth="1"/>
    <col min="3" max="3" width="10.140625" customWidth="1"/>
    <col min="4" max="4" width="15.5703125" customWidth="1"/>
    <col min="5" max="5" width="9.7109375"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167</v>
      </c>
      <c r="B1" s="259"/>
      <c r="C1" s="112"/>
      <c r="D1" s="76"/>
      <c r="E1" s="76"/>
      <c r="F1" s="76"/>
      <c r="G1" s="76"/>
      <c r="H1" s="76"/>
      <c r="I1" s="76"/>
      <c r="J1" s="76"/>
      <c r="K1" s="76"/>
      <c r="L1" s="76"/>
    </row>
    <row r="2" spans="1:12" ht="15.75" thickTop="1"/>
    <row r="3" spans="1:12" ht="18.75">
      <c r="A3" s="74" t="s">
        <v>203</v>
      </c>
    </row>
    <row r="4" spans="1:12" ht="15" customHeight="1">
      <c r="A4" s="260" t="s">
        <v>513</v>
      </c>
      <c r="B4" s="260"/>
      <c r="C4" s="260"/>
      <c r="D4" s="260"/>
      <c r="E4" s="260"/>
      <c r="F4" s="260"/>
      <c r="G4" s="260"/>
      <c r="H4" s="260"/>
      <c r="I4" s="260"/>
      <c r="J4" s="260"/>
    </row>
    <row r="5" spans="1:12">
      <c r="A5" s="260"/>
      <c r="B5" s="260"/>
      <c r="C5" s="260"/>
      <c r="D5" s="260"/>
      <c r="E5" s="260"/>
      <c r="F5" s="260"/>
      <c r="G5" s="260"/>
      <c r="H5" s="260"/>
      <c r="I5" s="260"/>
      <c r="J5" s="260"/>
    </row>
    <row r="6" spans="1:12">
      <c r="A6" s="122"/>
      <c r="B6" s="122"/>
      <c r="C6" s="122"/>
      <c r="D6" s="122"/>
      <c r="E6" s="122"/>
      <c r="F6" s="122"/>
      <c r="G6" s="122"/>
      <c r="H6" s="122"/>
      <c r="I6" s="122"/>
      <c r="J6" s="122"/>
    </row>
    <row r="7" spans="1:12" ht="18.75">
      <c r="A7" s="74" t="s">
        <v>24</v>
      </c>
    </row>
    <row r="8" spans="1:12" ht="15.75">
      <c r="A8" s="80" t="s">
        <v>511</v>
      </c>
    </row>
    <row r="10" spans="1:12" ht="15.75">
      <c r="A10" s="73" t="s">
        <v>145</v>
      </c>
    </row>
    <row r="11" spans="1:12">
      <c r="A11" t="s">
        <v>499</v>
      </c>
    </row>
    <row r="13" spans="1:12" ht="15.75">
      <c r="A13" s="73" t="s">
        <v>512</v>
      </c>
    </row>
    <row r="14" spans="1:12">
      <c r="A14" t="s">
        <v>514</v>
      </c>
    </row>
    <row r="16" spans="1:12" ht="15.75">
      <c r="A16" s="73" t="s">
        <v>486</v>
      </c>
    </row>
    <row r="17" spans="1:10">
      <c r="A17" t="s">
        <v>515</v>
      </c>
    </row>
    <row r="19" spans="1:10" ht="15.75">
      <c r="A19" s="73" t="s">
        <v>48</v>
      </c>
    </row>
    <row r="20" spans="1:10">
      <c r="A20" s="125" t="s">
        <v>501</v>
      </c>
    </row>
    <row r="21" spans="1:10">
      <c r="A21" s="245" t="s">
        <v>145</v>
      </c>
      <c r="B21" s="245"/>
      <c r="C21" s="245" t="s">
        <v>49</v>
      </c>
      <c r="D21" s="245"/>
      <c r="E21" s="256" t="s">
        <v>217</v>
      </c>
      <c r="F21" s="258"/>
    </row>
    <row r="22" spans="1:10">
      <c r="A22" s="262" t="s">
        <v>516</v>
      </c>
      <c r="B22" s="262"/>
      <c r="C22" s="246" t="str">
        <f>MID(A22,4,6)</f>
        <v>top re</v>
      </c>
      <c r="D22" s="246"/>
      <c r="E22" s="230" t="s">
        <v>518</v>
      </c>
      <c r="F22" s="232"/>
    </row>
    <row r="23" spans="1:10" ht="15" customHeight="1">
      <c r="A23" s="262" t="s">
        <v>489</v>
      </c>
      <c r="B23" s="262"/>
      <c r="C23" s="246" t="str">
        <f>MID(A23,2,9)</f>
        <v>XCEL IS W</v>
      </c>
      <c r="D23" s="246"/>
      <c r="E23" s="230" t="s">
        <v>519</v>
      </c>
      <c r="F23" s="232"/>
    </row>
    <row r="24" spans="1:10">
      <c r="A24" s="262" t="s">
        <v>476</v>
      </c>
      <c r="B24" s="262"/>
      <c r="C24" s="246" t="str">
        <f>MID(A24,10,9)</f>
        <v>E IS CLOS</v>
      </c>
      <c r="D24" s="246"/>
      <c r="E24" s="230" t="s">
        <v>520</v>
      </c>
      <c r="F24" s="232"/>
    </row>
    <row r="25" spans="1:10">
      <c r="A25" s="262" t="s">
        <v>517</v>
      </c>
      <c r="B25" s="262"/>
      <c r="C25" s="246" t="str">
        <f>MID(A25,2,6)</f>
        <v>0 EMPL</v>
      </c>
      <c r="D25" s="246"/>
      <c r="E25" s="230" t="s">
        <v>521</v>
      </c>
      <c r="F25" s="232"/>
    </row>
    <row r="26" spans="1:10">
      <c r="A26" s="126"/>
      <c r="B26" s="126"/>
      <c r="C26" s="126"/>
      <c r="D26" s="126"/>
    </row>
    <row r="27" spans="1:10" ht="15.75">
      <c r="A27" s="73" t="s">
        <v>235</v>
      </c>
    </row>
    <row r="28" spans="1:10" ht="15" customHeight="1">
      <c r="A28" s="125" t="s">
        <v>522</v>
      </c>
      <c r="B28" s="119"/>
      <c r="C28" s="119"/>
      <c r="D28" s="119"/>
      <c r="E28" s="119"/>
      <c r="F28" s="119"/>
      <c r="G28" s="119"/>
      <c r="H28" s="119"/>
      <c r="I28" s="119"/>
      <c r="J28" s="119"/>
    </row>
    <row r="29" spans="1:10">
      <c r="A29" s="245" t="s">
        <v>145</v>
      </c>
      <c r="B29" s="245"/>
      <c r="C29" s="263" t="s">
        <v>49</v>
      </c>
      <c r="D29" s="263"/>
      <c r="E29" s="256" t="s">
        <v>217</v>
      </c>
      <c r="F29" s="257"/>
      <c r="G29" s="258"/>
    </row>
    <row r="30" spans="1:10">
      <c r="A30" s="262" t="s">
        <v>481</v>
      </c>
      <c r="B30" s="262"/>
      <c r="C30" s="246" t="s">
        <v>525</v>
      </c>
      <c r="D30" s="246"/>
      <c r="E30" s="256" t="str">
        <f>MID(A30, 13, 9)</f>
        <v xml:space="preserve"> is +(0)1</v>
      </c>
      <c r="F30" s="257"/>
      <c r="G30" s="258"/>
    </row>
    <row r="31" spans="1:10">
      <c r="A31" s="262" t="s">
        <v>482</v>
      </c>
      <c r="B31" s="262"/>
      <c r="C31" s="246" t="s">
        <v>526</v>
      </c>
      <c r="D31" s="246"/>
      <c r="E31" s="256" t="str">
        <f>MID(A31, 13, 14)</f>
        <v xml:space="preserve"> for data clea</v>
      </c>
      <c r="F31" s="257"/>
      <c r="G31" s="258"/>
    </row>
    <row r="32" spans="1:10">
      <c r="A32" s="262" t="s">
        <v>523</v>
      </c>
      <c r="B32" s="262"/>
      <c r="C32" s="246" t="s">
        <v>527</v>
      </c>
      <c r="D32" s="246"/>
      <c r="E32" s="256" t="str">
        <f>MID(A32, 9, 4)</f>
        <v xml:space="preserve"> you</v>
      </c>
      <c r="F32" s="257"/>
      <c r="G32" s="258"/>
    </row>
    <row r="33" spans="1:7">
      <c r="A33" s="262" t="s">
        <v>524</v>
      </c>
      <c r="B33" s="262"/>
      <c r="C33" s="246" t="s">
        <v>528</v>
      </c>
      <c r="D33" s="246"/>
      <c r="E33" s="256" t="str">
        <f>MID(A33, 4, 6)</f>
        <v xml:space="preserve"> quest</v>
      </c>
      <c r="F33" s="257"/>
      <c r="G33" s="258"/>
    </row>
  </sheetData>
  <mergeCells count="32">
    <mergeCell ref="A32:B32"/>
    <mergeCell ref="C32:D32"/>
    <mergeCell ref="E32:G32"/>
    <mergeCell ref="A33:B33"/>
    <mergeCell ref="C33:D33"/>
    <mergeCell ref="E33:G33"/>
    <mergeCell ref="A30:B30"/>
    <mergeCell ref="C30:D30"/>
    <mergeCell ref="E30:G30"/>
    <mergeCell ref="A31:B31"/>
    <mergeCell ref="C31:D31"/>
    <mergeCell ref="E31:G31"/>
    <mergeCell ref="A25:B25"/>
    <mergeCell ref="C25:D25"/>
    <mergeCell ref="E25:F25"/>
    <mergeCell ref="A29:B29"/>
    <mergeCell ref="C29:D29"/>
    <mergeCell ref="E29:G29"/>
    <mergeCell ref="A23:B23"/>
    <mergeCell ref="C23:D23"/>
    <mergeCell ref="E23:F23"/>
    <mergeCell ref="A24:B24"/>
    <mergeCell ref="C24:D24"/>
    <mergeCell ref="E24:F24"/>
    <mergeCell ref="A22:B22"/>
    <mergeCell ref="C22:D22"/>
    <mergeCell ref="E22:F22"/>
    <mergeCell ref="A1:B1"/>
    <mergeCell ref="A4:J5"/>
    <mergeCell ref="A21:B21"/>
    <mergeCell ref="C21:D21"/>
    <mergeCell ref="E21:F21"/>
  </mergeCells>
  <pageMargins left="0.7" right="0.7" top="0.75" bottom="0.75" header="0.3" footer="0.3"/>
  <pageSetup orientation="portrait" horizontalDpi="4294967293" vertic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L41"/>
  <sheetViews>
    <sheetView showGridLines="0" topLeftCell="A16" zoomScale="90" zoomScaleNormal="90" workbookViewId="0">
      <selection activeCell="E38" sqref="E38"/>
    </sheetView>
  </sheetViews>
  <sheetFormatPr defaultRowHeight="15"/>
  <cols>
    <col min="1" max="2" width="12.7109375" customWidth="1"/>
    <col min="3" max="3" width="10.140625" customWidth="1"/>
    <col min="4" max="4" width="15.5703125" customWidth="1"/>
    <col min="5" max="5" width="12.28515625" customWidth="1"/>
    <col min="7" max="7" width="13.5703125" customWidth="1"/>
    <col min="8" max="8" width="11.5703125" bestFit="1" customWidth="1"/>
    <col min="9" max="9" width="10.140625" customWidth="1"/>
    <col min="10" max="10" width="12.140625" customWidth="1"/>
    <col min="11" max="11" width="11.28515625" customWidth="1"/>
    <col min="12" max="12" width="10.140625" customWidth="1"/>
  </cols>
  <sheetData>
    <row r="1" spans="1:12" ht="32.25" thickBot="1">
      <c r="A1" s="259" t="s">
        <v>169</v>
      </c>
      <c r="B1" s="259"/>
      <c r="C1" s="112"/>
      <c r="D1" s="76"/>
      <c r="E1" s="76"/>
      <c r="F1" s="76"/>
      <c r="G1" s="76"/>
      <c r="H1" s="76"/>
      <c r="I1" s="76"/>
      <c r="J1" s="76"/>
      <c r="K1" s="76"/>
      <c r="L1" s="76"/>
    </row>
    <row r="2" spans="1:12" ht="15.75" thickTop="1"/>
    <row r="3" spans="1:12" ht="18.75">
      <c r="A3" s="74" t="s">
        <v>203</v>
      </c>
    </row>
    <row r="4" spans="1:12" ht="15" customHeight="1">
      <c r="A4" s="260" t="s">
        <v>529</v>
      </c>
      <c r="B4" s="260"/>
      <c r="C4" s="260"/>
      <c r="D4" s="260"/>
      <c r="E4" s="260"/>
      <c r="F4" s="260"/>
      <c r="G4" s="260"/>
      <c r="H4" s="260"/>
      <c r="I4" s="260"/>
      <c r="J4" s="260"/>
    </row>
    <row r="5" spans="1:12">
      <c r="A5" s="260"/>
      <c r="B5" s="260"/>
      <c r="C5" s="260"/>
      <c r="D5" s="260"/>
      <c r="E5" s="260"/>
      <c r="F5" s="260"/>
      <c r="G5" s="260"/>
      <c r="H5" s="260"/>
      <c r="I5" s="260"/>
      <c r="J5" s="260"/>
    </row>
    <row r="6" spans="1:12">
      <c r="A6" s="138"/>
      <c r="B6" s="122"/>
      <c r="C6" s="122"/>
      <c r="D6" s="122"/>
      <c r="E6" s="122"/>
      <c r="F6" s="122"/>
      <c r="G6" s="122"/>
      <c r="H6" s="139"/>
      <c r="I6" s="139"/>
      <c r="J6" s="122"/>
    </row>
    <row r="7" spans="1:12" ht="18.75">
      <c r="A7" s="74" t="s">
        <v>24</v>
      </c>
    </row>
    <row r="8" spans="1:12" ht="15.75">
      <c r="A8" s="80" t="s">
        <v>530</v>
      </c>
    </row>
    <row r="10" spans="1:12" ht="15.75">
      <c r="A10" s="73" t="s">
        <v>348</v>
      </c>
    </row>
    <row r="11" spans="1:12">
      <c r="A11" t="s">
        <v>534</v>
      </c>
    </row>
    <row r="13" spans="1:12" ht="15.75">
      <c r="A13" s="73" t="s">
        <v>146</v>
      </c>
    </row>
    <row r="14" spans="1:12">
      <c r="A14" t="s">
        <v>532</v>
      </c>
    </row>
    <row r="16" spans="1:12" ht="15.75">
      <c r="A16" s="73" t="s">
        <v>531</v>
      </c>
    </row>
    <row r="17" spans="1:7">
      <c r="A17" t="s">
        <v>533</v>
      </c>
    </row>
    <row r="19" spans="1:7" ht="15.75">
      <c r="A19" s="73" t="s">
        <v>48</v>
      </c>
    </row>
    <row r="20" spans="1:7">
      <c r="A20" s="125" t="s">
        <v>535</v>
      </c>
    </row>
    <row r="21" spans="1:7">
      <c r="A21" s="120" t="s">
        <v>348</v>
      </c>
      <c r="B21" s="120" t="s">
        <v>146</v>
      </c>
      <c r="C21" s="120" t="s">
        <v>531</v>
      </c>
      <c r="D21" s="120" t="s">
        <v>49</v>
      </c>
      <c r="E21" s="256" t="s">
        <v>217</v>
      </c>
      <c r="F21" s="257"/>
      <c r="G21" s="258"/>
    </row>
    <row r="22" spans="1:7">
      <c r="A22" s="124">
        <v>2017</v>
      </c>
      <c r="B22" s="124">
        <v>12</v>
      </c>
      <c r="C22" s="121">
        <v>31</v>
      </c>
      <c r="D22" s="107">
        <f>DATE(A22,B22,C22)</f>
        <v>43100</v>
      </c>
      <c r="E22" s="230" t="s">
        <v>536</v>
      </c>
      <c r="F22" s="231"/>
      <c r="G22" s="232"/>
    </row>
    <row r="23" spans="1:7" ht="15" customHeight="1">
      <c r="A23" s="124">
        <v>2016</v>
      </c>
      <c r="B23" s="124">
        <v>11</v>
      </c>
      <c r="C23" s="121">
        <v>30</v>
      </c>
      <c r="D23" s="107">
        <f t="shared" ref="D23:D25" si="0">DATE(A23,B23,C23)</f>
        <v>42704</v>
      </c>
      <c r="E23" s="230" t="s">
        <v>537</v>
      </c>
      <c r="F23" s="231"/>
      <c r="G23" s="232"/>
    </row>
    <row r="24" spans="1:7">
      <c r="A24" s="124">
        <v>2015</v>
      </c>
      <c r="B24" s="124">
        <v>3</v>
      </c>
      <c r="C24" s="121">
        <v>1</v>
      </c>
      <c r="D24" s="107">
        <f t="shared" si="0"/>
        <v>42064</v>
      </c>
      <c r="E24" s="230" t="s">
        <v>538</v>
      </c>
      <c r="F24" s="231"/>
      <c r="G24" s="232"/>
    </row>
    <row r="25" spans="1:7">
      <c r="A25" s="124">
        <v>2014</v>
      </c>
      <c r="B25" s="124">
        <v>8</v>
      </c>
      <c r="C25" s="121">
        <v>1</v>
      </c>
      <c r="D25" s="107">
        <f t="shared" si="0"/>
        <v>41852</v>
      </c>
      <c r="E25" s="230" t="s">
        <v>539</v>
      </c>
      <c r="F25" s="231"/>
      <c r="G25" s="232"/>
    </row>
    <row r="26" spans="1:7">
      <c r="A26" s="126"/>
      <c r="B26" s="126"/>
      <c r="C26" s="126"/>
      <c r="D26" s="126"/>
    </row>
    <row r="27" spans="1:7" ht="15.75">
      <c r="A27" s="73" t="s">
        <v>454</v>
      </c>
    </row>
    <row r="28" spans="1:7">
      <c r="A28" s="125" t="s">
        <v>540</v>
      </c>
    </row>
    <row r="29" spans="1:7">
      <c r="A29" s="120" t="s">
        <v>348</v>
      </c>
      <c r="B29" s="120" t="s">
        <v>146</v>
      </c>
      <c r="C29" s="120" t="s">
        <v>531</v>
      </c>
      <c r="D29" s="256" t="s">
        <v>217</v>
      </c>
      <c r="E29" s="257"/>
      <c r="F29" s="258"/>
    </row>
    <row r="30" spans="1:7">
      <c r="A30" s="124">
        <v>2012</v>
      </c>
      <c r="B30" s="124">
        <v>7</v>
      </c>
      <c r="C30" s="121">
        <v>31</v>
      </c>
      <c r="D30" s="308">
        <f>DATE(A30,B30,C30)</f>
        <v>41121</v>
      </c>
      <c r="E30" s="309"/>
      <c r="F30" s="310"/>
    </row>
    <row r="31" spans="1:7" ht="15" customHeight="1">
      <c r="A31" s="124">
        <v>2011</v>
      </c>
      <c r="B31" s="124">
        <v>1</v>
      </c>
      <c r="C31" s="121">
        <v>30</v>
      </c>
      <c r="D31" s="308">
        <f>DATE(A31,B31,C31)</f>
        <v>40573</v>
      </c>
      <c r="E31" s="309"/>
      <c r="F31" s="310"/>
    </row>
    <row r="32" spans="1:7">
      <c r="A32" s="124">
        <v>2010</v>
      </c>
      <c r="B32" s="124">
        <v>2</v>
      </c>
      <c r="C32" s="121">
        <v>1</v>
      </c>
      <c r="D32" s="308">
        <f t="shared" ref="D31:D33" si="1">DATE(A32,B32,C32)</f>
        <v>40210</v>
      </c>
      <c r="E32" s="309"/>
      <c r="F32" s="310"/>
    </row>
    <row r="33" spans="1:6">
      <c r="A33" s="124">
        <v>2000</v>
      </c>
      <c r="B33" s="124">
        <v>5</v>
      </c>
      <c r="C33" s="121">
        <v>25</v>
      </c>
      <c r="D33" s="308">
        <f t="shared" si="1"/>
        <v>36671</v>
      </c>
      <c r="E33" s="309"/>
      <c r="F33" s="310"/>
    </row>
    <row r="35" spans="1:6" ht="15.75">
      <c r="A35" s="73" t="s">
        <v>455</v>
      </c>
    </row>
    <row r="36" spans="1:6">
      <c r="A36" s="125" t="s">
        <v>541</v>
      </c>
    </row>
    <row r="37" spans="1:6">
      <c r="A37" s="120" t="s">
        <v>304</v>
      </c>
      <c r="B37" s="120" t="s">
        <v>348</v>
      </c>
      <c r="C37" s="120" t="s">
        <v>146</v>
      </c>
      <c r="D37" s="120" t="s">
        <v>531</v>
      </c>
      <c r="E37" s="120" t="s">
        <v>144</v>
      </c>
    </row>
    <row r="38" spans="1:6">
      <c r="A38" s="124">
        <v>21122016</v>
      </c>
      <c r="B38" s="141" t="str">
        <f>RIGHT(A38, 4)</f>
        <v>2016</v>
      </c>
      <c r="C38" s="141" t="str">
        <f>MID(A38, 3, 2)</f>
        <v>12</v>
      </c>
      <c r="D38" s="140" t="str">
        <f>LEFT(A38, 2)</f>
        <v>21</v>
      </c>
      <c r="E38" s="107">
        <f>DATE(B38,C38,D38)</f>
        <v>42725</v>
      </c>
    </row>
    <row r="39" spans="1:6">
      <c r="A39" s="124">
        <v>13122000</v>
      </c>
      <c r="B39" s="141" t="str">
        <f t="shared" ref="B39:B41" si="2">RIGHT(A39, 4)</f>
        <v>2000</v>
      </c>
      <c r="C39" s="141" t="str">
        <f t="shared" ref="C39:C41" si="3">MID(A39, 3, 2)</f>
        <v>12</v>
      </c>
      <c r="D39" s="224" t="str">
        <f t="shared" ref="D39:D41" si="4">LEFT(A39, 2)</f>
        <v>13</v>
      </c>
      <c r="E39" s="225">
        <f t="shared" ref="E39:E41" si="5">DATE(B39,C39,D39)</f>
        <v>36873</v>
      </c>
    </row>
    <row r="40" spans="1:6">
      <c r="A40" s="124">
        <v>15011999</v>
      </c>
      <c r="B40" s="141" t="str">
        <f t="shared" si="2"/>
        <v>1999</v>
      </c>
      <c r="C40" s="141" t="str">
        <f t="shared" si="3"/>
        <v>01</v>
      </c>
      <c r="D40" s="224" t="str">
        <f t="shared" si="4"/>
        <v>15</v>
      </c>
      <c r="E40" s="225">
        <f t="shared" si="5"/>
        <v>36175</v>
      </c>
    </row>
    <row r="41" spans="1:6">
      <c r="A41" s="124">
        <v>10102010</v>
      </c>
      <c r="B41" s="141" t="str">
        <f t="shared" si="2"/>
        <v>2010</v>
      </c>
      <c r="C41" s="141" t="str">
        <f t="shared" si="3"/>
        <v>10</v>
      </c>
      <c r="D41" s="224" t="str">
        <f t="shared" si="4"/>
        <v>10</v>
      </c>
      <c r="E41" s="225">
        <f t="shared" si="5"/>
        <v>40461</v>
      </c>
    </row>
  </sheetData>
  <mergeCells count="12">
    <mergeCell ref="A1:B1"/>
    <mergeCell ref="A4:J5"/>
    <mergeCell ref="D32:F32"/>
    <mergeCell ref="D33:F33"/>
    <mergeCell ref="D30:F30"/>
    <mergeCell ref="D31:F31"/>
    <mergeCell ref="D29:F29"/>
    <mergeCell ref="E21:G21"/>
    <mergeCell ref="E22:G22"/>
    <mergeCell ref="E23:G23"/>
    <mergeCell ref="E24:G24"/>
    <mergeCell ref="E25:G25"/>
  </mergeCells>
  <pageMargins left="0.7" right="0.7" top="0.75" bottom="0.75" header="0.3" footer="0.3"/>
  <pageSetup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39"/>
  <sheetViews>
    <sheetView showGridLines="0" topLeftCell="A13" zoomScale="90" zoomScaleNormal="90" workbookViewId="0">
      <selection activeCell="E36" sqref="E36"/>
    </sheetView>
  </sheetViews>
  <sheetFormatPr defaultRowHeight="15"/>
  <cols>
    <col min="1" max="1" width="11" customWidth="1"/>
    <col min="2" max="2" width="12.85546875" customWidth="1"/>
    <col min="3" max="3" width="10.140625" customWidth="1"/>
    <col min="4" max="4" width="15.42578125" customWidth="1"/>
    <col min="5" max="5" width="15.85546875" customWidth="1"/>
    <col min="7" max="7" width="10.28515625" customWidth="1"/>
    <col min="10" max="10" width="10.140625" customWidth="1"/>
    <col min="11" max="11" width="11.28515625" customWidth="1"/>
    <col min="12" max="12" width="10.140625" customWidth="1"/>
  </cols>
  <sheetData>
    <row r="1" spans="1:12" ht="32.25" thickBot="1">
      <c r="A1" s="75" t="s">
        <v>157</v>
      </c>
      <c r="B1" s="76"/>
      <c r="C1" s="76"/>
      <c r="D1" s="76"/>
      <c r="E1" s="76"/>
      <c r="F1" s="76"/>
      <c r="G1" s="76"/>
      <c r="H1" s="76"/>
      <c r="I1" s="76"/>
      <c r="J1" s="76"/>
      <c r="K1" s="76"/>
      <c r="L1" s="76"/>
    </row>
    <row r="2" spans="1:12" ht="15.75" thickTop="1"/>
    <row r="3" spans="1:12" ht="18.75">
      <c r="A3" s="74" t="s">
        <v>203</v>
      </c>
    </row>
    <row r="4" spans="1:12">
      <c r="A4" s="227" t="s">
        <v>238</v>
      </c>
      <c r="B4" s="227"/>
      <c r="C4" s="227"/>
      <c r="D4" s="227"/>
      <c r="E4" s="227"/>
      <c r="F4" s="227"/>
      <c r="G4" s="227"/>
      <c r="H4" s="227"/>
      <c r="I4" s="227"/>
      <c r="J4" s="227"/>
    </row>
    <row r="5" spans="1:12">
      <c r="A5" s="227"/>
      <c r="B5" s="227"/>
      <c r="C5" s="227"/>
      <c r="D5" s="227"/>
      <c r="E5" s="227"/>
      <c r="F5" s="227"/>
      <c r="G5" s="227"/>
      <c r="H5" s="227"/>
      <c r="I5" s="227"/>
      <c r="J5" s="227"/>
    </row>
    <row r="6" spans="1:12">
      <c r="A6" s="91"/>
      <c r="B6" s="91"/>
      <c r="C6" s="91"/>
      <c r="D6" s="91"/>
      <c r="E6" s="91"/>
      <c r="F6" s="91"/>
      <c r="G6" s="91"/>
      <c r="H6" s="91"/>
      <c r="I6" s="91"/>
      <c r="J6" s="91"/>
    </row>
    <row r="7" spans="1:12" ht="18.75">
      <c r="A7" s="74" t="s">
        <v>24</v>
      </c>
    </row>
    <row r="8" spans="1:12" ht="15.75">
      <c r="A8" s="80" t="s">
        <v>239</v>
      </c>
    </row>
    <row r="10" spans="1:12" ht="15.75">
      <c r="A10" s="73" t="s">
        <v>240</v>
      </c>
    </row>
    <row r="11" spans="1:12">
      <c r="A11" t="s">
        <v>241</v>
      </c>
    </row>
    <row r="13" spans="1:12" ht="15.75">
      <c r="A13" s="73" t="s">
        <v>242</v>
      </c>
    </row>
    <row r="14" spans="1:12">
      <c r="A14" t="s">
        <v>243</v>
      </c>
    </row>
    <row r="16" spans="1:12" ht="15.75">
      <c r="A16" s="73" t="s">
        <v>44</v>
      </c>
    </row>
    <row r="17" spans="1:10">
      <c r="A17" t="s">
        <v>246</v>
      </c>
    </row>
    <row r="18" spans="1:10">
      <c r="A18" s="85" t="s">
        <v>244</v>
      </c>
      <c r="B18" s="85" t="s">
        <v>245</v>
      </c>
      <c r="C18" s="85" t="s">
        <v>49</v>
      </c>
      <c r="D18" s="229" t="s">
        <v>217</v>
      </c>
      <c r="E18" s="229"/>
    </row>
    <row r="19" spans="1:10">
      <c r="A19" s="95">
        <v>1</v>
      </c>
      <c r="B19" s="95">
        <v>2</v>
      </c>
      <c r="C19" s="77" t="b">
        <f>AND(A19&gt;0,B19&gt;0)</f>
        <v>1</v>
      </c>
      <c r="D19" s="234" t="s">
        <v>247</v>
      </c>
      <c r="E19" s="235"/>
    </row>
    <row r="20" spans="1:10">
      <c r="A20" s="95">
        <v>1</v>
      </c>
      <c r="B20" s="95">
        <v>-2</v>
      </c>
      <c r="C20" s="215" t="b">
        <f>AND(A20&gt;0,B20&gt;0)</f>
        <v>0</v>
      </c>
      <c r="D20" s="234" t="s">
        <v>290</v>
      </c>
      <c r="E20" s="235"/>
    </row>
    <row r="21" spans="1:10" ht="15.75">
      <c r="A21" s="73"/>
    </row>
    <row r="22" spans="1:10" ht="15.75">
      <c r="A22" s="73" t="s">
        <v>78</v>
      </c>
    </row>
    <row r="23" spans="1:10">
      <c r="A23" s="227" t="s">
        <v>248</v>
      </c>
      <c r="B23" s="227"/>
      <c r="C23" s="227"/>
      <c r="D23" s="227"/>
      <c r="E23" s="227"/>
      <c r="F23" s="227"/>
      <c r="G23" s="227"/>
      <c r="H23" s="227"/>
      <c r="I23" s="227"/>
      <c r="J23" s="227"/>
    </row>
    <row r="24" spans="1:10">
      <c r="A24" s="227"/>
      <c r="B24" s="227"/>
      <c r="C24" s="227"/>
      <c r="D24" s="227"/>
      <c r="E24" s="227"/>
      <c r="F24" s="227"/>
      <c r="G24" s="227"/>
      <c r="H24" s="227"/>
      <c r="I24" s="227"/>
      <c r="J24" s="227"/>
    </row>
    <row r="25" spans="1:10">
      <c r="A25" s="78" t="s">
        <v>207</v>
      </c>
      <c r="B25" s="78" t="s">
        <v>249</v>
      </c>
      <c r="C25" s="79" t="s">
        <v>250</v>
      </c>
      <c r="D25" s="82" t="s">
        <v>253</v>
      </c>
      <c r="E25" s="229" t="s">
        <v>217</v>
      </c>
      <c r="F25" s="229"/>
      <c r="G25" s="229"/>
      <c r="H25" s="229"/>
      <c r="I25" s="229"/>
    </row>
    <row r="26" spans="1:10">
      <c r="A26" s="77" t="s">
        <v>208</v>
      </c>
      <c r="B26" s="77" t="s">
        <v>251</v>
      </c>
      <c r="C26" s="83" t="s">
        <v>251</v>
      </c>
      <c r="D26" s="77" t="str">
        <f>IF(AND(B26="PASS",C26="PASS"),"PASS","FAIL")</f>
        <v>PASS</v>
      </c>
      <c r="E26" s="236" t="s">
        <v>254</v>
      </c>
      <c r="F26" s="237"/>
      <c r="G26" s="237"/>
      <c r="H26" s="237"/>
      <c r="I26" s="238"/>
    </row>
    <row r="27" spans="1:10">
      <c r="A27" s="77" t="s">
        <v>209</v>
      </c>
      <c r="B27" s="77" t="s">
        <v>251</v>
      </c>
      <c r="C27" s="83" t="s">
        <v>252</v>
      </c>
      <c r="D27" s="77" t="str">
        <f t="shared" ref="D27:D29" si="0">IF(AND(B27="PASS",C27="PASS"),"PASS","FAIL")</f>
        <v>FAIL</v>
      </c>
      <c r="E27" s="236" t="s">
        <v>255</v>
      </c>
      <c r="F27" s="237"/>
      <c r="G27" s="237"/>
      <c r="H27" s="237"/>
      <c r="I27" s="238"/>
    </row>
    <row r="28" spans="1:10">
      <c r="A28" s="77" t="s">
        <v>210</v>
      </c>
      <c r="B28" s="77" t="s">
        <v>252</v>
      </c>
      <c r="C28" s="83" t="s">
        <v>251</v>
      </c>
      <c r="D28" s="77" t="str">
        <f t="shared" si="0"/>
        <v>FAIL</v>
      </c>
      <c r="E28" s="236" t="s">
        <v>256</v>
      </c>
      <c r="F28" s="237"/>
      <c r="G28" s="237"/>
      <c r="H28" s="237"/>
      <c r="I28" s="238"/>
    </row>
    <row r="29" spans="1:10">
      <c r="A29" s="77" t="s">
        <v>211</v>
      </c>
      <c r="B29" s="77" t="s">
        <v>251</v>
      </c>
      <c r="C29" s="83" t="s">
        <v>251</v>
      </c>
      <c r="D29" s="77" t="str">
        <f t="shared" si="0"/>
        <v>PASS</v>
      </c>
      <c r="E29" s="239" t="s">
        <v>291</v>
      </c>
      <c r="F29" s="239"/>
      <c r="G29" s="239"/>
      <c r="H29" s="239"/>
      <c r="I29" s="239"/>
    </row>
    <row r="32" spans="1:10" ht="15.75">
      <c r="A32" s="73" t="s">
        <v>235</v>
      </c>
    </row>
    <row r="33" spans="1:10" ht="15" customHeight="1">
      <c r="A33" s="227" t="s">
        <v>257</v>
      </c>
      <c r="B33" s="227"/>
      <c r="C33" s="227"/>
      <c r="D33" s="227"/>
      <c r="E33" s="227"/>
      <c r="F33" s="227"/>
      <c r="G33" s="227"/>
      <c r="H33" s="227"/>
      <c r="I33" s="227"/>
      <c r="J33" s="227"/>
    </row>
    <row r="34" spans="1:10">
      <c r="A34" s="227"/>
      <c r="B34" s="227"/>
      <c r="C34" s="227"/>
      <c r="D34" s="227"/>
      <c r="E34" s="227"/>
      <c r="F34" s="227"/>
      <c r="G34" s="227"/>
      <c r="H34" s="227"/>
      <c r="I34" s="227"/>
      <c r="J34" s="227"/>
    </row>
    <row r="35" spans="1:10" ht="37.5" customHeight="1">
      <c r="A35" s="97" t="s">
        <v>219</v>
      </c>
      <c r="B35" s="97" t="s">
        <v>224</v>
      </c>
      <c r="C35" s="97" t="s">
        <v>153</v>
      </c>
      <c r="D35" s="84" t="s">
        <v>258</v>
      </c>
      <c r="E35" s="98" t="s">
        <v>261</v>
      </c>
    </row>
    <row r="36" spans="1:10">
      <c r="A36" s="77" t="s">
        <v>220</v>
      </c>
      <c r="B36" s="77" t="s">
        <v>225</v>
      </c>
      <c r="C36" s="89">
        <v>51</v>
      </c>
      <c r="D36" s="89" t="s">
        <v>259</v>
      </c>
      <c r="E36" s="86" t="str">
        <f>IF(AND(C36&gt;=50,D36="YES"),"YES","NO")</f>
        <v>YES</v>
      </c>
    </row>
    <row r="37" spans="1:10">
      <c r="A37" s="77" t="s">
        <v>221</v>
      </c>
      <c r="B37" s="77" t="s">
        <v>226</v>
      </c>
      <c r="C37" s="89">
        <v>100</v>
      </c>
      <c r="D37" s="89" t="s">
        <v>260</v>
      </c>
      <c r="E37" s="86" t="str">
        <f t="shared" ref="E37:E39" si="1">IF(AND(C37&gt;=50,D37="YES"),"YES","NO")</f>
        <v>NO</v>
      </c>
    </row>
    <row r="38" spans="1:10">
      <c r="A38" s="77" t="s">
        <v>222</v>
      </c>
      <c r="B38" s="77" t="s">
        <v>226</v>
      </c>
      <c r="C38" s="89">
        <v>49</v>
      </c>
      <c r="D38" s="89" t="s">
        <v>259</v>
      </c>
      <c r="E38" s="86" t="str">
        <f t="shared" si="1"/>
        <v>NO</v>
      </c>
    </row>
    <row r="39" spans="1:10">
      <c r="A39" s="77" t="s">
        <v>223</v>
      </c>
      <c r="B39" s="77" t="s">
        <v>226</v>
      </c>
      <c r="C39" s="89">
        <v>75</v>
      </c>
      <c r="D39" s="89" t="s">
        <v>259</v>
      </c>
      <c r="E39" s="86" t="str">
        <f t="shared" si="1"/>
        <v>YES</v>
      </c>
    </row>
  </sheetData>
  <mergeCells count="11">
    <mergeCell ref="A33:J34"/>
    <mergeCell ref="E26:I26"/>
    <mergeCell ref="E27:I27"/>
    <mergeCell ref="E28:I28"/>
    <mergeCell ref="E29:I29"/>
    <mergeCell ref="A4:J5"/>
    <mergeCell ref="D18:E18"/>
    <mergeCell ref="A23:J24"/>
    <mergeCell ref="E25:I25"/>
    <mergeCell ref="D20:E20"/>
    <mergeCell ref="D19:E19"/>
  </mergeCells>
  <pageMargins left="0.7" right="0.7" top="0.75" bottom="0.75" header="0.3" footer="0.3"/>
  <pageSetup orientation="portrait" horizontalDpi="4294967293" verticalDpi="4294967293"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26"/>
  <sheetViews>
    <sheetView showGridLines="0" zoomScale="90" zoomScaleNormal="90" workbookViewId="0">
      <selection activeCell="B24" sqref="B24:C24"/>
    </sheetView>
  </sheetViews>
  <sheetFormatPr defaultRowHeight="15"/>
  <cols>
    <col min="1" max="2" width="12.7109375" customWidth="1"/>
    <col min="3" max="3" width="10.140625" customWidth="1"/>
    <col min="4" max="4" width="12.28515625"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170</v>
      </c>
      <c r="B1" s="259"/>
      <c r="C1" s="112"/>
      <c r="D1" s="76"/>
      <c r="E1" s="76"/>
      <c r="F1" s="76"/>
      <c r="G1" s="76"/>
      <c r="H1" s="76"/>
      <c r="I1" s="76"/>
      <c r="J1" s="76"/>
      <c r="K1" s="76"/>
    </row>
    <row r="2" spans="1:11" ht="15.75" thickTop="1"/>
    <row r="3" spans="1:11" ht="18.75">
      <c r="A3" s="74" t="s">
        <v>203</v>
      </c>
    </row>
    <row r="4" spans="1:11" ht="15" customHeight="1">
      <c r="A4" s="260" t="s">
        <v>542</v>
      </c>
      <c r="B4" s="260"/>
      <c r="C4" s="260"/>
      <c r="D4" s="260"/>
      <c r="E4" s="260"/>
      <c r="F4" s="260"/>
      <c r="G4" s="260"/>
      <c r="H4" s="260"/>
      <c r="I4" s="260"/>
    </row>
    <row r="5" spans="1:11">
      <c r="A5" s="138"/>
      <c r="B5" s="122"/>
      <c r="C5" s="122"/>
      <c r="D5" s="122"/>
      <c r="E5" s="122"/>
      <c r="F5" s="122"/>
      <c r="G5" s="139"/>
      <c r="H5" s="139"/>
      <c r="I5" s="122"/>
    </row>
    <row r="6" spans="1:11" ht="18.75">
      <c r="A6" s="74" t="s">
        <v>24</v>
      </c>
    </row>
    <row r="7" spans="1:11" ht="15.75">
      <c r="A7" s="80" t="s">
        <v>547</v>
      </c>
    </row>
    <row r="9" spans="1:11" ht="15.75">
      <c r="A9" s="73" t="s">
        <v>548</v>
      </c>
    </row>
    <row r="10" spans="1:11">
      <c r="A10" t="s">
        <v>549</v>
      </c>
    </row>
    <row r="12" spans="1:11" ht="15.75">
      <c r="A12" s="73" t="s">
        <v>48</v>
      </c>
    </row>
    <row r="13" spans="1:11">
      <c r="A13" s="125" t="s">
        <v>535</v>
      </c>
    </row>
    <row r="14" spans="1:11">
      <c r="A14" s="120" t="s">
        <v>551</v>
      </c>
      <c r="B14" s="120" t="s">
        <v>49</v>
      </c>
      <c r="C14" s="256" t="s">
        <v>217</v>
      </c>
      <c r="D14" s="258"/>
    </row>
    <row r="15" spans="1:11">
      <c r="A15" s="142" t="s">
        <v>1053</v>
      </c>
      <c r="B15" s="215">
        <f t="shared" ref="B15:B18" si="0">DATEVALUE(A15)</f>
        <v>42860</v>
      </c>
      <c r="C15" s="230" t="s">
        <v>1055</v>
      </c>
      <c r="D15" s="232"/>
    </row>
    <row r="16" spans="1:11" ht="15" customHeight="1">
      <c r="A16" s="142" t="s">
        <v>1054</v>
      </c>
      <c r="B16" s="215">
        <f t="shared" si="0"/>
        <v>43143</v>
      </c>
      <c r="C16" s="230" t="s">
        <v>552</v>
      </c>
      <c r="D16" s="232"/>
    </row>
    <row r="17" spans="1:4">
      <c r="A17" s="142" t="s">
        <v>550</v>
      </c>
      <c r="B17" s="121">
        <f t="shared" si="0"/>
        <v>42007</v>
      </c>
      <c r="C17" s="230" t="s">
        <v>553</v>
      </c>
      <c r="D17" s="232"/>
    </row>
    <row r="18" spans="1:4">
      <c r="A18" s="142" t="s">
        <v>1052</v>
      </c>
      <c r="B18" s="121">
        <f t="shared" si="0"/>
        <v>41678</v>
      </c>
      <c r="C18" s="230" t="s">
        <v>554</v>
      </c>
      <c r="D18" s="232"/>
    </row>
    <row r="19" spans="1:4">
      <c r="A19" s="126"/>
      <c r="B19" s="126"/>
      <c r="C19" s="126"/>
    </row>
    <row r="20" spans="1:4" ht="15.75">
      <c r="A20" s="73" t="s">
        <v>235</v>
      </c>
    </row>
    <row r="21" spans="1:4">
      <c r="A21" s="125" t="s">
        <v>555</v>
      </c>
    </row>
    <row r="22" spans="1:4">
      <c r="A22" s="120" t="s">
        <v>551</v>
      </c>
      <c r="B22" s="229" t="s">
        <v>49</v>
      </c>
      <c r="C22" s="229"/>
    </row>
    <row r="23" spans="1:4">
      <c r="A23" s="142" t="s">
        <v>556</v>
      </c>
      <c r="B23" s="311" t="e">
        <f>DATEVALUE(A23)</f>
        <v>#VALUE!</v>
      </c>
      <c r="C23" s="311"/>
    </row>
    <row r="24" spans="1:4" ht="15" customHeight="1">
      <c r="A24" s="142" t="s">
        <v>557</v>
      </c>
      <c r="B24" s="311">
        <f t="shared" ref="B23:B25" si="1">DATEVALUE(A24)</f>
        <v>40238</v>
      </c>
      <c r="C24" s="311"/>
    </row>
    <row r="25" spans="1:4">
      <c r="A25" s="142" t="s">
        <v>558</v>
      </c>
      <c r="B25" s="311">
        <f t="shared" si="1"/>
        <v>42320</v>
      </c>
      <c r="C25" s="311"/>
    </row>
    <row r="26" spans="1:4">
      <c r="A26" s="142" t="s">
        <v>559</v>
      </c>
      <c r="B26" s="311">
        <f>DATEVALUE(A26)</f>
        <v>41640</v>
      </c>
      <c r="C26" s="311"/>
    </row>
  </sheetData>
  <mergeCells count="12">
    <mergeCell ref="B26:C26"/>
    <mergeCell ref="A1:B1"/>
    <mergeCell ref="A4:I4"/>
    <mergeCell ref="C14:D14"/>
    <mergeCell ref="C15:D15"/>
    <mergeCell ref="C16:D16"/>
    <mergeCell ref="C17:D17"/>
    <mergeCell ref="C18:D18"/>
    <mergeCell ref="B22:C22"/>
    <mergeCell ref="B23:C23"/>
    <mergeCell ref="B24:C24"/>
    <mergeCell ref="B25:C25"/>
  </mergeCells>
  <pageMargins left="0.7" right="0.7" top="0.75" bottom="0.75" header="0.3" footer="0.3"/>
  <pageSetup orientation="portrait" horizontalDpi="4294967293" verticalDpi="4294967293"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24"/>
  <sheetViews>
    <sheetView showGridLines="0" zoomScale="90" zoomScaleNormal="90" workbookViewId="0">
      <selection activeCell="D30" sqref="D30"/>
    </sheetView>
  </sheetViews>
  <sheetFormatPr defaultRowHeight="15"/>
  <cols>
    <col min="1" max="2" width="12.7109375" customWidth="1"/>
    <col min="3" max="3" width="10.140625" customWidth="1"/>
    <col min="4" max="4" width="12.28515625"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171</v>
      </c>
      <c r="B1" s="259"/>
      <c r="C1" s="112"/>
      <c r="D1" s="76"/>
      <c r="E1" s="76"/>
      <c r="F1" s="76"/>
      <c r="G1" s="76"/>
      <c r="H1" s="76"/>
      <c r="I1" s="76"/>
      <c r="J1" s="76"/>
      <c r="K1" s="76"/>
    </row>
    <row r="2" spans="1:11" ht="15.75" thickTop="1"/>
    <row r="3" spans="1:11" ht="18.75">
      <c r="A3" s="74" t="s">
        <v>203</v>
      </c>
    </row>
    <row r="4" spans="1:11" ht="15" customHeight="1">
      <c r="A4" s="260" t="s">
        <v>560</v>
      </c>
      <c r="B4" s="260"/>
      <c r="C4" s="260"/>
      <c r="D4" s="260"/>
      <c r="E4" s="260"/>
      <c r="F4" s="260"/>
      <c r="G4" s="260"/>
      <c r="H4" s="260"/>
      <c r="I4" s="260"/>
    </row>
    <row r="5" spans="1:11">
      <c r="A5" s="138"/>
      <c r="B5" s="122"/>
      <c r="C5" s="122"/>
      <c r="D5" s="122"/>
      <c r="E5" s="122"/>
      <c r="F5" s="122"/>
      <c r="G5" s="139"/>
      <c r="H5" s="139"/>
      <c r="I5" s="122"/>
    </row>
    <row r="6" spans="1:11" ht="18.75">
      <c r="A6" s="74" t="s">
        <v>24</v>
      </c>
    </row>
    <row r="7" spans="1:11" ht="15.75">
      <c r="A7" s="80" t="s">
        <v>561</v>
      </c>
    </row>
    <row r="9" spans="1:11" ht="15.75">
      <c r="A9" s="73" t="s">
        <v>562</v>
      </c>
    </row>
    <row r="10" spans="1:11">
      <c r="A10" t="s">
        <v>563</v>
      </c>
    </row>
    <row r="12" spans="1:11" ht="15.75">
      <c r="A12" s="73" t="s">
        <v>48</v>
      </c>
    </row>
    <row r="13" spans="1:11">
      <c r="A13" s="125" t="s">
        <v>564</v>
      </c>
    </row>
    <row r="14" spans="1:11">
      <c r="A14" s="120" t="s">
        <v>49</v>
      </c>
      <c r="B14" s="256" t="s">
        <v>217</v>
      </c>
      <c r="C14" s="258"/>
    </row>
    <row r="15" spans="1:11">
      <c r="A15" s="107">
        <f ca="1">TODAY()</f>
        <v>46079</v>
      </c>
      <c r="B15" s="230" t="s">
        <v>561</v>
      </c>
      <c r="C15" s="232"/>
    </row>
    <row r="16" spans="1:11">
      <c r="A16" s="107">
        <f ca="1">TODAY()-5</f>
        <v>46074</v>
      </c>
      <c r="B16" s="230" t="s">
        <v>565</v>
      </c>
      <c r="C16" s="232"/>
    </row>
    <row r="17" spans="1:3">
      <c r="A17" s="126"/>
      <c r="B17" s="126"/>
      <c r="C17" s="126"/>
    </row>
    <row r="18" spans="1:3" ht="15.75">
      <c r="A18" s="73" t="s">
        <v>235</v>
      </c>
    </row>
    <row r="19" spans="1:3">
      <c r="A19" s="125" t="s">
        <v>566</v>
      </c>
    </row>
    <row r="20" spans="1:3">
      <c r="A20" s="120" t="s">
        <v>304</v>
      </c>
      <c r="B20" s="229" t="s">
        <v>49</v>
      </c>
      <c r="C20" s="229"/>
    </row>
    <row r="21" spans="1:3">
      <c r="A21" s="142">
        <v>42369</v>
      </c>
      <c r="B21" s="264">
        <f ca="1">TODAY()-A21</f>
        <v>3710</v>
      </c>
      <c r="C21" s="264"/>
    </row>
    <row r="22" spans="1:3" ht="15" customHeight="1">
      <c r="A22" s="142">
        <v>40181</v>
      </c>
      <c r="B22" s="264">
        <f t="shared" ref="B22:B24" ca="1" si="0">TODAY()-A22</f>
        <v>5898</v>
      </c>
      <c r="C22" s="264"/>
    </row>
    <row r="23" spans="1:3">
      <c r="A23" s="142">
        <v>42349</v>
      </c>
      <c r="B23" s="264">
        <f t="shared" ca="1" si="0"/>
        <v>3730</v>
      </c>
      <c r="C23" s="264"/>
    </row>
    <row r="24" spans="1:3">
      <c r="A24" s="142">
        <v>41640</v>
      </c>
      <c r="B24" s="264">
        <f t="shared" ca="1" si="0"/>
        <v>4439</v>
      </c>
      <c r="C24" s="264"/>
    </row>
  </sheetData>
  <mergeCells count="10">
    <mergeCell ref="B24:C24"/>
    <mergeCell ref="A1:B1"/>
    <mergeCell ref="A4:I4"/>
    <mergeCell ref="B14:C14"/>
    <mergeCell ref="B15:C15"/>
    <mergeCell ref="B16:C16"/>
    <mergeCell ref="B20:C20"/>
    <mergeCell ref="B21:C21"/>
    <mergeCell ref="B22:C22"/>
    <mergeCell ref="B23:C23"/>
  </mergeCells>
  <pageMargins left="0.7" right="0.7" top="0.75" bottom="0.75" header="0.3" footer="0.3"/>
  <pageSetup orientation="portrait" horizontalDpi="4294967293" verticalDpi="4294967293"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22"/>
  <sheetViews>
    <sheetView showGridLines="0" zoomScale="90" zoomScaleNormal="90" workbookViewId="0">
      <selection activeCell="D23" sqref="D23"/>
    </sheetView>
  </sheetViews>
  <sheetFormatPr defaultRowHeight="15"/>
  <cols>
    <col min="1" max="1" width="12.85546875" customWidth="1"/>
    <col min="2" max="2" width="12.7109375" customWidth="1"/>
    <col min="3" max="3" width="10.140625" customWidth="1"/>
    <col min="4" max="5" width="17.140625" bestFit="1"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172</v>
      </c>
      <c r="B1" s="259"/>
      <c r="C1" s="112"/>
      <c r="D1" s="76"/>
      <c r="E1" s="76"/>
      <c r="F1" s="76"/>
      <c r="G1" s="76"/>
      <c r="H1" s="76"/>
      <c r="I1" s="76"/>
      <c r="J1" s="76"/>
      <c r="K1" s="76"/>
    </row>
    <row r="2" spans="1:11" ht="15.75" thickTop="1"/>
    <row r="3" spans="1:11" ht="18.75">
      <c r="A3" s="74" t="s">
        <v>203</v>
      </c>
    </row>
    <row r="4" spans="1:11" ht="15" customHeight="1">
      <c r="A4" s="260" t="s">
        <v>1056</v>
      </c>
      <c r="B4" s="260"/>
      <c r="C4" s="260"/>
      <c r="D4" s="260"/>
      <c r="E4" s="260"/>
      <c r="F4" s="260"/>
      <c r="G4" s="260"/>
      <c r="H4" s="260"/>
      <c r="I4" s="260"/>
    </row>
    <row r="5" spans="1:11">
      <c r="A5" s="138"/>
      <c r="B5" s="135"/>
      <c r="C5" s="135"/>
      <c r="D5" s="135"/>
      <c r="E5" s="135"/>
      <c r="F5" s="135"/>
      <c r="G5" s="139"/>
      <c r="H5" s="139"/>
      <c r="I5" s="135"/>
    </row>
    <row r="6" spans="1:11" ht="18.75">
      <c r="A6" s="74" t="s">
        <v>24</v>
      </c>
    </row>
    <row r="7" spans="1:11" ht="15.75">
      <c r="A7" s="80" t="s">
        <v>567</v>
      </c>
    </row>
    <row r="9" spans="1:11" ht="15.75">
      <c r="A9" s="73" t="s">
        <v>562</v>
      </c>
    </row>
    <row r="10" spans="1:11">
      <c r="A10" t="s">
        <v>563</v>
      </c>
    </row>
    <row r="12" spans="1:11" ht="15.75">
      <c r="A12" s="73" t="s">
        <v>48</v>
      </c>
    </row>
    <row r="13" spans="1:11">
      <c r="A13" s="125" t="s">
        <v>568</v>
      </c>
    </row>
    <row r="14" spans="1:11">
      <c r="A14" s="245" t="s">
        <v>49</v>
      </c>
      <c r="B14" s="245"/>
      <c r="C14" s="256" t="s">
        <v>217</v>
      </c>
      <c r="D14" s="258"/>
    </row>
    <row r="15" spans="1:11">
      <c r="A15" s="265">
        <f ca="1">NOW()</f>
        <v>46079.979599652776</v>
      </c>
      <c r="B15" s="265"/>
      <c r="C15" s="230" t="s">
        <v>567</v>
      </c>
      <c r="D15" s="232"/>
      <c r="E15" s="148"/>
    </row>
    <row r="16" spans="1:11">
      <c r="A16" s="265">
        <f ca="1">NOW()-5</f>
        <v>46074.979599652776</v>
      </c>
      <c r="B16" s="265"/>
      <c r="C16" s="230" t="s">
        <v>569</v>
      </c>
      <c r="D16" s="232"/>
      <c r="E16" s="148"/>
    </row>
    <row r="17" spans="1:5">
      <c r="A17" s="126"/>
      <c r="B17" s="126"/>
      <c r="C17" s="126"/>
    </row>
    <row r="18" spans="1:5" ht="15.75">
      <c r="A18" s="73" t="s">
        <v>235</v>
      </c>
    </row>
    <row r="19" spans="1:5">
      <c r="A19" s="125" t="s">
        <v>570</v>
      </c>
    </row>
    <row r="20" spans="1:5">
      <c r="A20" s="252" t="s">
        <v>304</v>
      </c>
      <c r="B20" s="253"/>
      <c r="C20" s="254"/>
      <c r="D20" s="256" t="s">
        <v>217</v>
      </c>
      <c r="E20" s="258"/>
    </row>
    <row r="21" spans="1:5">
      <c r="A21" s="266" t="s">
        <v>571</v>
      </c>
      <c r="B21" s="267"/>
      <c r="C21" s="268"/>
      <c r="D21" s="265">
        <f ca="1">NOW()</f>
        <v>46079.979599652776</v>
      </c>
      <c r="E21" s="265"/>
    </row>
    <row r="22" spans="1:5" ht="15" customHeight="1">
      <c r="A22" s="266" t="s">
        <v>572</v>
      </c>
      <c r="B22" s="267"/>
      <c r="C22" s="268"/>
      <c r="D22" s="265">
        <f ca="1">NOW()-7</f>
        <v>46072.979599652776</v>
      </c>
      <c r="E22" s="265"/>
    </row>
  </sheetData>
  <mergeCells count="14">
    <mergeCell ref="A1:B1"/>
    <mergeCell ref="A4:I4"/>
    <mergeCell ref="C14:D14"/>
    <mergeCell ref="C15:D15"/>
    <mergeCell ref="C16:D16"/>
    <mergeCell ref="A14:B14"/>
    <mergeCell ref="D21:E21"/>
    <mergeCell ref="D22:E22"/>
    <mergeCell ref="A15:B15"/>
    <mergeCell ref="A16:B16"/>
    <mergeCell ref="A21:C21"/>
    <mergeCell ref="A22:C22"/>
    <mergeCell ref="A20:C20"/>
    <mergeCell ref="D20:E20"/>
  </mergeCells>
  <pageMargins left="0.7" right="0.7" top="0.75" bottom="0.75" header="0.3" footer="0.3"/>
  <pageSetup orientation="portrait" horizontalDpi="4294967293" verticalDpi="4294967293"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23"/>
  <sheetViews>
    <sheetView showGridLines="0" zoomScale="90" zoomScaleNormal="90" workbookViewId="0">
      <selection activeCell="I29" sqref="I29"/>
    </sheetView>
  </sheetViews>
  <sheetFormatPr defaultRowHeight="15"/>
  <cols>
    <col min="1" max="1" width="12.85546875" customWidth="1"/>
    <col min="2" max="2" width="12.7109375" customWidth="1"/>
    <col min="3" max="3" width="10.140625" customWidth="1"/>
    <col min="4" max="5" width="17.140625" bestFit="1"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173</v>
      </c>
      <c r="B1" s="259"/>
      <c r="C1" s="112"/>
      <c r="D1" s="76"/>
      <c r="E1" s="76"/>
      <c r="F1" s="76"/>
      <c r="G1" s="76"/>
      <c r="H1" s="76"/>
      <c r="I1" s="76"/>
      <c r="J1" s="76"/>
      <c r="K1" s="76"/>
    </row>
    <row r="2" spans="1:11" ht="15.75" thickTop="1"/>
    <row r="3" spans="1:11" ht="18.75">
      <c r="A3" s="74" t="s">
        <v>203</v>
      </c>
    </row>
    <row r="4" spans="1:11" ht="15" customHeight="1">
      <c r="A4" s="260" t="s">
        <v>573</v>
      </c>
      <c r="B4" s="260"/>
      <c r="C4" s="260"/>
      <c r="D4" s="260"/>
      <c r="E4" s="260"/>
      <c r="F4" s="260"/>
      <c r="G4" s="260"/>
      <c r="H4" s="260"/>
      <c r="I4" s="260"/>
    </row>
    <row r="5" spans="1:11">
      <c r="A5" s="260"/>
      <c r="B5" s="260"/>
      <c r="C5" s="260"/>
      <c r="D5" s="260"/>
      <c r="E5" s="260"/>
      <c r="F5" s="260"/>
      <c r="G5" s="260"/>
      <c r="H5" s="260"/>
      <c r="I5" s="260"/>
    </row>
    <row r="6" spans="1:11">
      <c r="A6" s="135"/>
      <c r="B6" s="135"/>
      <c r="C6" s="135"/>
      <c r="D6" s="135"/>
      <c r="E6" s="135"/>
      <c r="F6" s="135"/>
      <c r="G6" s="135"/>
      <c r="H6" s="135"/>
      <c r="I6" s="135"/>
    </row>
    <row r="7" spans="1:11" ht="18.75">
      <c r="A7" s="74" t="s">
        <v>24</v>
      </c>
    </row>
    <row r="8" spans="1:11" ht="15.75">
      <c r="A8" s="80" t="s">
        <v>574</v>
      </c>
    </row>
    <row r="10" spans="1:11" ht="15.75">
      <c r="A10" s="73" t="s">
        <v>575</v>
      </c>
    </row>
    <row r="11" spans="1:11">
      <c r="A11" t="s">
        <v>576</v>
      </c>
    </row>
    <row r="13" spans="1:11" ht="15.75">
      <c r="A13" s="73" t="s">
        <v>48</v>
      </c>
    </row>
    <row r="14" spans="1:11">
      <c r="A14" s="125" t="s">
        <v>568</v>
      </c>
    </row>
    <row r="15" spans="1:11">
      <c r="A15" s="245" t="s">
        <v>304</v>
      </c>
      <c r="B15" s="245"/>
      <c r="C15" s="128" t="s">
        <v>49</v>
      </c>
      <c r="D15" s="128" t="s">
        <v>217</v>
      </c>
    </row>
    <row r="16" spans="1:11">
      <c r="A16" s="265">
        <f ca="1">NOW()</f>
        <v>46079.979599652776</v>
      </c>
      <c r="B16" s="265"/>
      <c r="C16" s="143">
        <f ca="1">DAY(A16)</f>
        <v>26</v>
      </c>
      <c r="D16" s="143" t="s">
        <v>577</v>
      </c>
    </row>
    <row r="17" spans="1:7">
      <c r="A17" s="265">
        <f ca="1">NOW()-5</f>
        <v>46074.979599652776</v>
      </c>
      <c r="B17" s="265"/>
      <c r="C17" s="143">
        <f ca="1">DAY(A17)</f>
        <v>21</v>
      </c>
      <c r="D17" s="143" t="s">
        <v>578</v>
      </c>
    </row>
    <row r="18" spans="1:7">
      <c r="A18" s="126"/>
      <c r="B18" s="126"/>
      <c r="C18" s="126"/>
    </row>
    <row r="19" spans="1:7" ht="15.75">
      <c r="A19" s="73" t="s">
        <v>235</v>
      </c>
    </row>
    <row r="20" spans="1:7">
      <c r="A20" s="125" t="s">
        <v>579</v>
      </c>
    </row>
    <row r="21" spans="1:7">
      <c r="A21" s="252" t="s">
        <v>304</v>
      </c>
      <c r="B21" s="253"/>
      <c r="C21" s="254"/>
      <c r="D21" s="256" t="s">
        <v>580</v>
      </c>
      <c r="E21" s="258"/>
      <c r="F21" s="256" t="s">
        <v>581</v>
      </c>
      <c r="G21" s="258"/>
    </row>
    <row r="22" spans="1:7">
      <c r="A22" s="266" t="s">
        <v>571</v>
      </c>
      <c r="B22" s="267"/>
      <c r="C22" s="268"/>
      <c r="D22" s="265">
        <f ca="1">NOW()</f>
        <v>46079.979599652776</v>
      </c>
      <c r="E22" s="265"/>
      <c r="F22" s="269">
        <f ca="1">DAY(D22)</f>
        <v>26</v>
      </c>
      <c r="G22" s="269"/>
    </row>
    <row r="23" spans="1:7" ht="15" customHeight="1">
      <c r="A23" s="266" t="s">
        <v>572</v>
      </c>
      <c r="B23" s="267"/>
      <c r="C23" s="268"/>
      <c r="D23" s="265">
        <f ca="1">NOW()-7</f>
        <v>46072.979599652776</v>
      </c>
      <c r="E23" s="265"/>
      <c r="F23" s="269">
        <f ca="1">DAY(D23)</f>
        <v>19</v>
      </c>
      <c r="G23" s="269"/>
    </row>
  </sheetData>
  <mergeCells count="14">
    <mergeCell ref="A1:B1"/>
    <mergeCell ref="A15:B15"/>
    <mergeCell ref="A16:B16"/>
    <mergeCell ref="A23:C23"/>
    <mergeCell ref="D23:E23"/>
    <mergeCell ref="A4:I5"/>
    <mergeCell ref="F21:G21"/>
    <mergeCell ref="F22:G22"/>
    <mergeCell ref="F23:G23"/>
    <mergeCell ref="A17:B17"/>
    <mergeCell ref="A21:C21"/>
    <mergeCell ref="D21:E21"/>
    <mergeCell ref="A22:C22"/>
    <mergeCell ref="D22:E22"/>
  </mergeCells>
  <pageMargins left="0.7" right="0.7" top="0.75" bottom="0.75" header="0.3" footer="0.3"/>
  <pageSetup orientation="portrait" horizontalDpi="4294967293" verticalDpi="4294967293"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K23"/>
  <sheetViews>
    <sheetView showGridLines="0" zoomScale="90" zoomScaleNormal="90" workbookViewId="0">
      <selection activeCell="H30" sqref="H30"/>
    </sheetView>
  </sheetViews>
  <sheetFormatPr defaultRowHeight="15"/>
  <cols>
    <col min="1" max="1" width="12.85546875" customWidth="1"/>
    <col min="2" max="2" width="12.7109375" customWidth="1"/>
    <col min="3" max="3" width="10.140625" customWidth="1"/>
    <col min="4" max="5" width="17.140625" bestFit="1"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174</v>
      </c>
      <c r="B1" s="259"/>
      <c r="C1" s="112"/>
      <c r="D1" s="76"/>
      <c r="E1" s="76"/>
      <c r="F1" s="76"/>
      <c r="G1" s="76"/>
      <c r="H1" s="76"/>
      <c r="I1" s="76"/>
      <c r="J1" s="76"/>
      <c r="K1" s="76"/>
    </row>
    <row r="2" spans="1:11" ht="15.75" thickTop="1"/>
    <row r="3" spans="1:11" ht="18.75">
      <c r="A3" s="74" t="s">
        <v>203</v>
      </c>
    </row>
    <row r="4" spans="1:11" ht="15" customHeight="1">
      <c r="A4" s="260" t="s">
        <v>582</v>
      </c>
      <c r="B4" s="260"/>
      <c r="C4" s="260"/>
      <c r="D4" s="260"/>
      <c r="E4" s="260"/>
      <c r="F4" s="260"/>
      <c r="G4" s="260"/>
      <c r="H4" s="260"/>
      <c r="I4" s="260"/>
    </row>
    <row r="5" spans="1:11">
      <c r="A5" s="260"/>
      <c r="B5" s="260"/>
      <c r="C5" s="260"/>
      <c r="D5" s="260"/>
      <c r="E5" s="260"/>
      <c r="F5" s="260"/>
      <c r="G5" s="260"/>
      <c r="H5" s="260"/>
      <c r="I5" s="260"/>
    </row>
    <row r="6" spans="1:11">
      <c r="A6" s="135"/>
      <c r="B6" s="135"/>
      <c r="C6" s="135"/>
      <c r="D6" s="135"/>
      <c r="E6" s="135"/>
      <c r="F6" s="135"/>
      <c r="G6" s="135"/>
      <c r="H6" s="135"/>
      <c r="I6" s="135"/>
    </row>
    <row r="7" spans="1:11" ht="18.75">
      <c r="A7" s="74" t="s">
        <v>24</v>
      </c>
    </row>
    <row r="8" spans="1:11" ht="15.75">
      <c r="A8" s="80" t="s">
        <v>583</v>
      </c>
    </row>
    <row r="10" spans="1:11" ht="15.75">
      <c r="A10" s="73" t="s">
        <v>575</v>
      </c>
    </row>
    <row r="11" spans="1:11">
      <c r="A11" t="s">
        <v>584</v>
      </c>
    </row>
    <row r="12" spans="1:11">
      <c r="A12" s="149"/>
    </row>
    <row r="13" spans="1:11" ht="15.75">
      <c r="A13" s="73" t="s">
        <v>48</v>
      </c>
    </row>
    <row r="14" spans="1:11">
      <c r="A14" s="125" t="s">
        <v>568</v>
      </c>
    </row>
    <row r="15" spans="1:11">
      <c r="A15" s="245" t="s">
        <v>304</v>
      </c>
      <c r="B15" s="245"/>
      <c r="C15" s="128" t="s">
        <v>49</v>
      </c>
      <c r="D15" s="128" t="s">
        <v>217</v>
      </c>
    </row>
    <row r="16" spans="1:11">
      <c r="A16" s="265">
        <v>42823.507711458333</v>
      </c>
      <c r="B16" s="265"/>
      <c r="C16" s="143">
        <f>MONTH(A16)</f>
        <v>3</v>
      </c>
      <c r="D16" s="143" t="s">
        <v>585</v>
      </c>
    </row>
    <row r="17" spans="1:7">
      <c r="A17" s="265">
        <v>42788.507711458333</v>
      </c>
      <c r="B17" s="265"/>
      <c r="C17" s="143">
        <f>MONTH(A17)</f>
        <v>2</v>
      </c>
      <c r="D17" s="143" t="s">
        <v>586</v>
      </c>
    </row>
    <row r="18" spans="1:7">
      <c r="A18" s="126"/>
      <c r="B18" s="126"/>
      <c r="C18" s="126"/>
    </row>
    <row r="19" spans="1:7" ht="15.75">
      <c r="A19" s="73" t="s">
        <v>235</v>
      </c>
    </row>
    <row r="20" spans="1:7">
      <c r="A20" s="125" t="s">
        <v>588</v>
      </c>
    </row>
    <row r="21" spans="1:7">
      <c r="A21" s="252" t="s">
        <v>304</v>
      </c>
      <c r="B21" s="253"/>
      <c r="C21" s="254"/>
      <c r="D21" s="256" t="s">
        <v>580</v>
      </c>
      <c r="E21" s="258"/>
      <c r="F21" s="256" t="s">
        <v>597</v>
      </c>
      <c r="G21" s="258"/>
    </row>
    <row r="22" spans="1:7">
      <c r="A22" s="266" t="s">
        <v>571</v>
      </c>
      <c r="B22" s="267"/>
      <c r="C22" s="268"/>
      <c r="D22" s="265">
        <f ca="1">NOW()</f>
        <v>46079.979599652776</v>
      </c>
      <c r="E22" s="265"/>
      <c r="F22" s="269">
        <f ca="1">MONTH(D22)</f>
        <v>2</v>
      </c>
      <c r="G22" s="269"/>
    </row>
    <row r="23" spans="1:7" ht="15" customHeight="1">
      <c r="A23" s="266" t="s">
        <v>587</v>
      </c>
      <c r="B23" s="267"/>
      <c r="C23" s="268"/>
      <c r="D23" s="265">
        <f ca="1">NOW()-30</f>
        <v>46049.979599652776</v>
      </c>
      <c r="E23" s="265"/>
      <c r="F23" s="269">
        <f ca="1">MONTH(D23)</f>
        <v>1</v>
      </c>
      <c r="G23" s="269"/>
    </row>
  </sheetData>
  <mergeCells count="14">
    <mergeCell ref="A21:C21"/>
    <mergeCell ref="D21:E21"/>
    <mergeCell ref="F21:G21"/>
    <mergeCell ref="A1:B1"/>
    <mergeCell ref="A4:I5"/>
    <mergeCell ref="A15:B15"/>
    <mergeCell ref="A16:B16"/>
    <mergeCell ref="A17:B17"/>
    <mergeCell ref="A22:C22"/>
    <mergeCell ref="D22:E22"/>
    <mergeCell ref="F22:G22"/>
    <mergeCell ref="A23:C23"/>
    <mergeCell ref="D23:E23"/>
    <mergeCell ref="F23:G23"/>
  </mergeCells>
  <pageMargins left="0.7" right="0.7" top="0.75" bottom="0.75" header="0.3" footer="0.3"/>
  <pageSetup orientation="portrait" horizontalDpi="4294967293" verticalDpi="4294967293"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35"/>
  <sheetViews>
    <sheetView showGridLines="0" zoomScale="90" zoomScaleNormal="90" workbookViewId="0">
      <selection activeCell="F35" sqref="F35"/>
    </sheetView>
  </sheetViews>
  <sheetFormatPr defaultRowHeight="15"/>
  <cols>
    <col min="1" max="1" width="12.85546875" customWidth="1"/>
    <col min="2" max="2" width="12.7109375" customWidth="1"/>
    <col min="3" max="3" width="10.140625" customWidth="1"/>
    <col min="4" max="5" width="17.140625" bestFit="1"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175</v>
      </c>
      <c r="B1" s="259"/>
      <c r="C1" s="112"/>
      <c r="D1" s="76"/>
      <c r="E1" s="76"/>
      <c r="F1" s="76"/>
      <c r="G1" s="76"/>
      <c r="H1" s="76"/>
      <c r="I1" s="76"/>
      <c r="J1" s="76"/>
      <c r="K1" s="76"/>
    </row>
    <row r="2" spans="1:11" ht="15.75" thickTop="1"/>
    <row r="3" spans="1:11" ht="18.75">
      <c r="A3" s="74" t="s">
        <v>203</v>
      </c>
    </row>
    <row r="4" spans="1:11" ht="15" customHeight="1">
      <c r="A4" s="260" t="s">
        <v>590</v>
      </c>
      <c r="B4" s="260"/>
      <c r="C4" s="260"/>
      <c r="D4" s="260"/>
      <c r="E4" s="260"/>
      <c r="F4" s="260"/>
      <c r="G4" s="260"/>
      <c r="H4" s="260"/>
      <c r="I4" s="260"/>
    </row>
    <row r="5" spans="1:11">
      <c r="A5" s="260"/>
      <c r="B5" s="260"/>
      <c r="C5" s="260"/>
      <c r="D5" s="260"/>
      <c r="E5" s="260"/>
      <c r="F5" s="260"/>
      <c r="G5" s="260"/>
      <c r="H5" s="260"/>
      <c r="I5" s="260"/>
    </row>
    <row r="6" spans="1:11">
      <c r="A6" s="135"/>
      <c r="B6" s="135"/>
      <c r="C6" s="135"/>
      <c r="D6" s="135"/>
      <c r="E6" s="135"/>
      <c r="F6" s="135"/>
      <c r="G6" s="135"/>
      <c r="H6" s="135"/>
      <c r="I6" s="135"/>
    </row>
    <row r="7" spans="1:11" ht="18.75">
      <c r="A7" s="74" t="s">
        <v>24</v>
      </c>
    </row>
    <row r="8" spans="1:11" ht="15.75">
      <c r="A8" s="80" t="s">
        <v>589</v>
      </c>
    </row>
    <row r="10" spans="1:11" ht="15.75">
      <c r="A10" s="73" t="s">
        <v>575</v>
      </c>
    </row>
    <row r="11" spans="1:11">
      <c r="A11" t="s">
        <v>591</v>
      </c>
    </row>
    <row r="12" spans="1:11">
      <c r="A12" s="149"/>
    </row>
    <row r="13" spans="1:11" ht="15.75">
      <c r="A13" s="73" t="s">
        <v>48</v>
      </c>
    </row>
    <row r="14" spans="1:11">
      <c r="A14" s="125" t="s">
        <v>568</v>
      </c>
    </row>
    <row r="15" spans="1:11">
      <c r="A15" s="245" t="s">
        <v>304</v>
      </c>
      <c r="B15" s="245"/>
      <c r="C15" s="128" t="s">
        <v>49</v>
      </c>
      <c r="D15" s="128" t="s">
        <v>217</v>
      </c>
    </row>
    <row r="16" spans="1:11">
      <c r="A16" s="265">
        <v>42823.507711458333</v>
      </c>
      <c r="B16" s="265"/>
      <c r="C16" s="143">
        <f>YEAR(A16)</f>
        <v>2017</v>
      </c>
      <c r="D16" s="143" t="s">
        <v>592</v>
      </c>
    </row>
    <row r="17" spans="1:7">
      <c r="A17" s="270">
        <v>18681</v>
      </c>
      <c r="B17" s="270"/>
      <c r="C17" s="143">
        <f>YEAR(A17)</f>
        <v>1951</v>
      </c>
      <c r="D17" s="143" t="s">
        <v>593</v>
      </c>
    </row>
    <row r="18" spans="1:7">
      <c r="A18" s="126"/>
      <c r="B18" s="126"/>
      <c r="C18" s="126"/>
    </row>
    <row r="19" spans="1:7" ht="15.75">
      <c r="A19" s="73" t="s">
        <v>454</v>
      </c>
    </row>
    <row r="20" spans="1:7">
      <c r="A20" s="125" t="s">
        <v>594</v>
      </c>
    </row>
    <row r="21" spans="1:7">
      <c r="A21" s="252" t="s">
        <v>304</v>
      </c>
      <c r="B21" s="253"/>
      <c r="C21" s="254"/>
      <c r="D21" s="256" t="s">
        <v>580</v>
      </c>
      <c r="E21" s="258"/>
      <c r="F21" s="256" t="s">
        <v>596</v>
      </c>
      <c r="G21" s="258"/>
    </row>
    <row r="22" spans="1:7">
      <c r="A22" s="266" t="s">
        <v>571</v>
      </c>
      <c r="B22" s="267"/>
      <c r="C22" s="268"/>
      <c r="D22" s="265">
        <f ca="1">NOW()</f>
        <v>46079.979599652776</v>
      </c>
      <c r="E22" s="265"/>
      <c r="F22" s="269">
        <f ca="1">YEAR(D22)</f>
        <v>2026</v>
      </c>
      <c r="G22" s="269"/>
    </row>
    <row r="23" spans="1:7" ht="15" customHeight="1">
      <c r="A23" s="266" t="s">
        <v>595</v>
      </c>
      <c r="B23" s="267"/>
      <c r="C23" s="268"/>
      <c r="D23" s="265">
        <f ca="1">NOW()-365</f>
        <v>45714.979599652776</v>
      </c>
      <c r="E23" s="265"/>
      <c r="F23" s="269">
        <f ca="1">YEAR(D23)</f>
        <v>2025</v>
      </c>
      <c r="G23" s="269"/>
    </row>
    <row r="25" spans="1:7" ht="15.75">
      <c r="A25" s="73" t="s">
        <v>455</v>
      </c>
    </row>
    <row r="26" spans="1:7">
      <c r="A26" s="125" t="s">
        <v>600</v>
      </c>
    </row>
    <row r="27" spans="1:7">
      <c r="A27" s="131" t="s">
        <v>144</v>
      </c>
      <c r="B27" s="245" t="s">
        <v>338</v>
      </c>
      <c r="C27" s="245"/>
      <c r="D27" s="245"/>
      <c r="E27" s="245"/>
    </row>
    <row r="28" spans="1:7">
      <c r="A28" s="107">
        <v>42384</v>
      </c>
      <c r="B28" s="246" t="s">
        <v>598</v>
      </c>
      <c r="C28" s="246"/>
      <c r="D28" s="246"/>
      <c r="E28" s="246"/>
    </row>
    <row r="29" spans="1:7">
      <c r="A29" s="107">
        <v>42415</v>
      </c>
      <c r="B29" s="270">
        <f>DATE(YEAR(A28),MONTH(A28)+1,DAY(A28))</f>
        <v>42415</v>
      </c>
      <c r="C29" s="270"/>
      <c r="D29" s="270"/>
      <c r="E29" s="270"/>
      <c r="F29" t="s">
        <v>599</v>
      </c>
    </row>
    <row r="30" spans="1:7">
      <c r="A30" s="107">
        <v>42444</v>
      </c>
      <c r="B30" s="270">
        <f>DATE(YEAR(A28),MONTH(A28)+2,DAY(A28))</f>
        <v>42444</v>
      </c>
      <c r="C30" s="270"/>
      <c r="D30" s="270"/>
      <c r="E30" s="270"/>
    </row>
    <row r="31" spans="1:7">
      <c r="A31" s="107">
        <v>42475</v>
      </c>
      <c r="B31" s="270">
        <f>DATE(YEAR(A29),MONTH(A29)+2,DAY(A29))</f>
        <v>42475</v>
      </c>
      <c r="C31" s="270"/>
      <c r="D31" s="270"/>
      <c r="E31" s="270"/>
    </row>
    <row r="32" spans="1:7">
      <c r="A32" s="107">
        <v>42505</v>
      </c>
      <c r="B32" s="270">
        <f t="shared" ref="B31:B35" si="0">DATE(YEAR(A30),MONTH(A30)+2,DAY(A30))</f>
        <v>42505</v>
      </c>
      <c r="C32" s="270"/>
      <c r="D32" s="270"/>
      <c r="E32" s="270"/>
    </row>
    <row r="33" spans="1:5">
      <c r="A33" s="107">
        <v>42536</v>
      </c>
      <c r="B33" s="270">
        <f t="shared" si="0"/>
        <v>42536</v>
      </c>
      <c r="C33" s="270"/>
      <c r="D33" s="270"/>
      <c r="E33" s="270"/>
    </row>
    <row r="34" spans="1:5">
      <c r="A34" s="107">
        <v>42566</v>
      </c>
      <c r="B34" s="270">
        <f t="shared" si="0"/>
        <v>42566</v>
      </c>
      <c r="C34" s="270"/>
      <c r="D34" s="270"/>
      <c r="E34" s="270"/>
    </row>
    <row r="35" spans="1:5">
      <c r="A35" s="107">
        <v>42967</v>
      </c>
      <c r="B35" s="270">
        <f t="shared" si="0"/>
        <v>42597</v>
      </c>
      <c r="C35" s="270"/>
      <c r="D35" s="270"/>
      <c r="E35" s="270"/>
    </row>
  </sheetData>
  <mergeCells count="23">
    <mergeCell ref="A21:C21"/>
    <mergeCell ref="D21:E21"/>
    <mergeCell ref="F21:G21"/>
    <mergeCell ref="A1:B1"/>
    <mergeCell ref="A4:I5"/>
    <mergeCell ref="A15:B15"/>
    <mergeCell ref="A16:B16"/>
    <mergeCell ref="A17:B17"/>
    <mergeCell ref="A22:C22"/>
    <mergeCell ref="D22:E22"/>
    <mergeCell ref="F22:G22"/>
    <mergeCell ref="A23:C23"/>
    <mergeCell ref="D23:E23"/>
    <mergeCell ref="F23:G23"/>
    <mergeCell ref="B33:E33"/>
    <mergeCell ref="B34:E34"/>
    <mergeCell ref="B35:E35"/>
    <mergeCell ref="B28:E28"/>
    <mergeCell ref="B27:E27"/>
    <mergeCell ref="B29:E29"/>
    <mergeCell ref="B30:E30"/>
    <mergeCell ref="B31:E31"/>
    <mergeCell ref="B32:E32"/>
  </mergeCells>
  <pageMargins left="0.7" right="0.7" top="0.75" bottom="0.75" header="0.3" footer="0.3"/>
  <pageSetup orientation="portrait" horizontalDpi="4294967293" verticalDpi="4294967293"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K43"/>
  <sheetViews>
    <sheetView showGridLines="0" topLeftCell="A26" zoomScale="90" zoomScaleNormal="90" workbookViewId="0">
      <selection activeCell="C41" sqref="C41:D41"/>
    </sheetView>
  </sheetViews>
  <sheetFormatPr defaultRowHeight="15"/>
  <cols>
    <col min="1" max="1" width="12.85546875" customWidth="1"/>
    <col min="2" max="2" width="12.7109375" customWidth="1"/>
    <col min="3" max="3" width="10.140625" customWidth="1"/>
    <col min="4" max="5" width="17.140625" bestFit="1"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176</v>
      </c>
      <c r="B1" s="259"/>
      <c r="C1" s="112"/>
      <c r="D1" s="76"/>
      <c r="E1" s="76"/>
      <c r="F1" s="76"/>
      <c r="G1" s="76"/>
      <c r="H1" s="76"/>
      <c r="I1" s="76"/>
      <c r="J1" s="76"/>
      <c r="K1" s="76"/>
    </row>
    <row r="2" spans="1:11" ht="15.75" thickTop="1"/>
    <row r="3" spans="1:11" ht="18.75">
      <c r="A3" s="74" t="s">
        <v>203</v>
      </c>
    </row>
    <row r="4" spans="1:11" ht="15" customHeight="1">
      <c r="A4" s="260" t="s">
        <v>602</v>
      </c>
      <c r="B4" s="260"/>
      <c r="C4" s="260"/>
      <c r="D4" s="260"/>
      <c r="E4" s="260"/>
      <c r="F4" s="260"/>
      <c r="G4" s="260"/>
      <c r="H4" s="260"/>
      <c r="I4" s="260"/>
    </row>
    <row r="5" spans="1:11">
      <c r="A5" s="260"/>
      <c r="B5" s="260"/>
      <c r="C5" s="260"/>
      <c r="D5" s="260"/>
      <c r="E5" s="260"/>
      <c r="F5" s="260"/>
      <c r="G5" s="260"/>
      <c r="H5" s="260"/>
      <c r="I5" s="260"/>
    </row>
    <row r="6" spans="1:11">
      <c r="A6" s="135"/>
      <c r="B6" s="135"/>
      <c r="C6" s="135"/>
      <c r="D6" s="135"/>
      <c r="E6" s="135"/>
      <c r="F6" s="135"/>
      <c r="G6" s="135"/>
      <c r="H6" s="135"/>
      <c r="I6" s="135"/>
    </row>
    <row r="7" spans="1:11" ht="18.75">
      <c r="A7" s="74" t="s">
        <v>24</v>
      </c>
    </row>
    <row r="8" spans="1:11" ht="15.75">
      <c r="A8" s="80" t="s">
        <v>601</v>
      </c>
    </row>
    <row r="10" spans="1:11" ht="15.75">
      <c r="A10" s="73" t="s">
        <v>575</v>
      </c>
    </row>
    <row r="11" spans="1:11">
      <c r="A11" t="s">
        <v>591</v>
      </c>
    </row>
    <row r="12" spans="1:11">
      <c r="A12" s="149"/>
    </row>
    <row r="13" spans="1:11" ht="15.75">
      <c r="A13" s="73" t="s">
        <v>603</v>
      </c>
    </row>
    <row r="14" spans="1:11">
      <c r="A14" s="227" t="s">
        <v>604</v>
      </c>
      <c r="B14" s="227"/>
      <c r="C14" s="227"/>
      <c r="D14" s="227"/>
      <c r="E14" s="227"/>
      <c r="F14" s="227"/>
      <c r="G14" s="227"/>
      <c r="H14" s="227"/>
      <c r="I14" s="227"/>
      <c r="J14" s="227"/>
    </row>
    <row r="15" spans="1:11">
      <c r="A15" s="227"/>
      <c r="B15" s="227"/>
      <c r="C15" s="227"/>
      <c r="D15" s="227"/>
      <c r="E15" s="227"/>
      <c r="F15" s="227"/>
      <c r="G15" s="227"/>
      <c r="H15" s="227"/>
      <c r="I15" s="227"/>
      <c r="J15" s="227"/>
    </row>
    <row r="16" spans="1:11">
      <c r="A16" s="127"/>
      <c r="B16" s="127"/>
      <c r="C16" s="127"/>
      <c r="D16" s="127"/>
      <c r="E16" s="127"/>
      <c r="F16" s="127"/>
      <c r="G16" s="127"/>
      <c r="H16" s="127"/>
      <c r="I16" s="127"/>
      <c r="J16" s="127"/>
    </row>
    <row r="17" spans="1:4" ht="15.75">
      <c r="A17" s="73" t="s">
        <v>48</v>
      </c>
    </row>
    <row r="18" spans="1:4">
      <c r="A18" s="125" t="s">
        <v>605</v>
      </c>
    </row>
    <row r="19" spans="1:4">
      <c r="A19" s="245" t="s">
        <v>304</v>
      </c>
      <c r="B19" s="245"/>
      <c r="C19" s="128" t="s">
        <v>49</v>
      </c>
      <c r="D19" s="128" t="s">
        <v>217</v>
      </c>
    </row>
    <row r="20" spans="1:4">
      <c r="A20" s="270">
        <f ca="1">TODAY()</f>
        <v>46079</v>
      </c>
      <c r="B20" s="270"/>
      <c r="C20" s="143">
        <f ca="1">WEEKDAY(A20)</f>
        <v>5</v>
      </c>
      <c r="D20" s="143" t="s">
        <v>606</v>
      </c>
    </row>
    <row r="21" spans="1:4">
      <c r="A21" s="270">
        <f t="shared" ref="A21:A23" ca="1" si="0">TODAY()</f>
        <v>46079</v>
      </c>
      <c r="B21" s="270"/>
      <c r="C21" s="143">
        <f ca="1">WEEKDAY(A21,2)</f>
        <v>4</v>
      </c>
      <c r="D21" s="143" t="s">
        <v>607</v>
      </c>
    </row>
    <row r="22" spans="1:4">
      <c r="A22" s="270">
        <f t="shared" ca="1" si="0"/>
        <v>46079</v>
      </c>
      <c r="B22" s="270"/>
      <c r="C22" s="143">
        <f ca="1">WEEKDAY(A22,3)</f>
        <v>3</v>
      </c>
      <c r="D22" s="143" t="s">
        <v>608</v>
      </c>
    </row>
    <row r="23" spans="1:4">
      <c r="A23" s="270">
        <f t="shared" ca="1" si="0"/>
        <v>46079</v>
      </c>
      <c r="B23" s="270"/>
      <c r="C23" s="143">
        <f ca="1">WEEKDAY(A23,14)</f>
        <v>1</v>
      </c>
      <c r="D23" s="143" t="s">
        <v>609</v>
      </c>
    </row>
    <row r="24" spans="1:4">
      <c r="A24" s="126"/>
      <c r="B24" s="126"/>
      <c r="C24" s="126"/>
    </row>
    <row r="25" spans="1:4" ht="15.75">
      <c r="A25" s="73" t="s">
        <v>454</v>
      </c>
    </row>
    <row r="26" spans="1:4">
      <c r="A26" s="125" t="s">
        <v>612</v>
      </c>
    </row>
    <row r="27" spans="1:4">
      <c r="A27" s="131" t="s">
        <v>610</v>
      </c>
      <c r="B27" s="131" t="s">
        <v>611</v>
      </c>
      <c r="C27" s="256" t="s">
        <v>338</v>
      </c>
      <c r="D27" s="258"/>
    </row>
    <row r="28" spans="1:4">
      <c r="A28" s="107">
        <v>42736</v>
      </c>
      <c r="B28" s="151">
        <v>1</v>
      </c>
      <c r="C28" s="312">
        <f>WEEKDAY(A28,B28)</f>
        <v>1</v>
      </c>
      <c r="D28" s="313"/>
    </row>
    <row r="29" spans="1:4">
      <c r="A29" s="107">
        <v>42736</v>
      </c>
      <c r="B29" s="151">
        <v>2</v>
      </c>
      <c r="C29" s="312">
        <f t="shared" ref="C29:C30" si="1">WEEKDAY(A29,B29)</f>
        <v>7</v>
      </c>
      <c r="D29" s="313"/>
    </row>
    <row r="30" spans="1:4">
      <c r="A30" s="107">
        <v>42736</v>
      </c>
      <c r="B30" s="151">
        <v>3</v>
      </c>
      <c r="C30" s="312">
        <f t="shared" si="1"/>
        <v>6</v>
      </c>
      <c r="D30" s="313"/>
    </row>
    <row r="32" spans="1:4" ht="15.75">
      <c r="A32" s="73" t="s">
        <v>455</v>
      </c>
    </row>
    <row r="33" spans="1:10">
      <c r="A33" s="227" t="s">
        <v>613</v>
      </c>
      <c r="B33" s="227"/>
      <c r="C33" s="227"/>
      <c r="D33" s="227"/>
      <c r="E33" s="227"/>
      <c r="F33" s="227"/>
      <c r="G33" s="227"/>
      <c r="H33" s="227"/>
      <c r="I33" s="227"/>
      <c r="J33" s="227"/>
    </row>
    <row r="34" spans="1:10">
      <c r="A34" s="227"/>
      <c r="B34" s="227"/>
      <c r="C34" s="227"/>
      <c r="D34" s="227"/>
      <c r="E34" s="227"/>
      <c r="F34" s="227"/>
      <c r="G34" s="227"/>
      <c r="H34" s="227"/>
      <c r="I34" s="227"/>
      <c r="J34" s="227"/>
    </row>
    <row r="35" spans="1:10">
      <c r="A35" s="131" t="s">
        <v>610</v>
      </c>
      <c r="B35" s="131" t="s">
        <v>614</v>
      </c>
      <c r="C35" s="245" t="s">
        <v>615</v>
      </c>
      <c r="D35" s="245"/>
    </row>
    <row r="36" spans="1:10">
      <c r="A36" s="152">
        <v>42822</v>
      </c>
      <c r="B36" s="153">
        <f>WEEKDAY(A36)</f>
        <v>3</v>
      </c>
      <c r="C36" s="271">
        <f>IF(B36=3,A36-4,A36)</f>
        <v>42818</v>
      </c>
      <c r="D36" s="271"/>
    </row>
    <row r="37" spans="1:10">
      <c r="A37" s="107">
        <v>42823</v>
      </c>
      <c r="B37" s="132">
        <f>WEEKDAY(A37)</f>
        <v>4</v>
      </c>
      <c r="C37" s="270">
        <f>IF(B37=3,A37-4,A37)</f>
        <v>42823</v>
      </c>
      <c r="D37" s="270"/>
    </row>
    <row r="38" spans="1:10">
      <c r="A38" s="107">
        <v>42815</v>
      </c>
      <c r="B38" s="222">
        <f t="shared" ref="B38:B43" si="2">WEEKDAY(A38)</f>
        <v>3</v>
      </c>
      <c r="C38" s="270">
        <f t="shared" ref="C38:C43" si="3">IF(B38=3,A38-4,A38)</f>
        <v>42811</v>
      </c>
      <c r="D38" s="270"/>
    </row>
    <row r="39" spans="1:10">
      <c r="A39" s="107">
        <v>42370</v>
      </c>
      <c r="B39" s="222">
        <f t="shared" si="2"/>
        <v>6</v>
      </c>
      <c r="C39" s="270">
        <f t="shared" si="3"/>
        <v>42370</v>
      </c>
      <c r="D39" s="270"/>
    </row>
    <row r="40" spans="1:10">
      <c r="A40" s="107">
        <v>42736</v>
      </c>
      <c r="B40" s="222">
        <f t="shared" si="2"/>
        <v>1</v>
      </c>
      <c r="C40" s="270">
        <f t="shared" si="3"/>
        <v>42736</v>
      </c>
      <c r="D40" s="270"/>
    </row>
    <row r="41" spans="1:10">
      <c r="A41" s="107">
        <v>42005</v>
      </c>
      <c r="B41" s="222">
        <f t="shared" si="2"/>
        <v>5</v>
      </c>
      <c r="C41" s="270">
        <f t="shared" si="3"/>
        <v>42005</v>
      </c>
      <c r="D41" s="270"/>
    </row>
    <row r="42" spans="1:10">
      <c r="A42" s="107">
        <v>41640</v>
      </c>
      <c r="B42" s="222">
        <f t="shared" si="2"/>
        <v>4</v>
      </c>
      <c r="C42" s="270">
        <f t="shared" si="3"/>
        <v>41640</v>
      </c>
      <c r="D42" s="270"/>
    </row>
    <row r="43" spans="1:10">
      <c r="A43" s="107">
        <v>41275</v>
      </c>
      <c r="B43" s="222">
        <f t="shared" si="2"/>
        <v>3</v>
      </c>
      <c r="C43" s="270">
        <f t="shared" si="3"/>
        <v>41271</v>
      </c>
      <c r="D43" s="270"/>
    </row>
  </sheetData>
  <mergeCells count="22">
    <mergeCell ref="C30:D30"/>
    <mergeCell ref="A1:B1"/>
    <mergeCell ref="A4:I5"/>
    <mergeCell ref="A19:B19"/>
    <mergeCell ref="A20:B20"/>
    <mergeCell ref="A21:B21"/>
    <mergeCell ref="A14:J15"/>
    <mergeCell ref="A23:B23"/>
    <mergeCell ref="A22:B22"/>
    <mergeCell ref="C27:D27"/>
    <mergeCell ref="C28:D28"/>
    <mergeCell ref="C29:D29"/>
    <mergeCell ref="C40:D40"/>
    <mergeCell ref="C41:D41"/>
    <mergeCell ref="C42:D42"/>
    <mergeCell ref="C43:D43"/>
    <mergeCell ref="A33:J34"/>
    <mergeCell ref="C36:D36"/>
    <mergeCell ref="C35:D35"/>
    <mergeCell ref="C37:D37"/>
    <mergeCell ref="C38:D38"/>
    <mergeCell ref="C39:D39"/>
  </mergeCells>
  <pageMargins left="0.7" right="0.7" top="0.75" bottom="0.75" header="0.3" footer="0.3"/>
  <pageSetup orientation="portrait" horizontalDpi="4294967293" verticalDpi="4294967293"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K24"/>
  <sheetViews>
    <sheetView showGridLines="0" topLeftCell="A6" zoomScale="90" zoomScaleNormal="90" workbookViewId="0">
      <selection activeCell="E26" sqref="E26"/>
    </sheetView>
  </sheetViews>
  <sheetFormatPr defaultRowHeight="15"/>
  <cols>
    <col min="1" max="1" width="12.85546875" customWidth="1"/>
    <col min="2" max="2" width="12.7109375" customWidth="1"/>
    <col min="3" max="3" width="10.140625" customWidth="1"/>
    <col min="4" max="5" width="17.140625" bestFit="1"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177</v>
      </c>
      <c r="B1" s="259"/>
      <c r="C1" s="112"/>
      <c r="D1" s="76"/>
      <c r="E1" s="76"/>
      <c r="F1" s="76"/>
      <c r="G1" s="76"/>
      <c r="H1" s="76"/>
      <c r="I1" s="76"/>
      <c r="J1" s="76"/>
      <c r="K1" s="76"/>
    </row>
    <row r="2" spans="1:11" ht="15.75" thickTop="1"/>
    <row r="3" spans="1:11" ht="18.75">
      <c r="A3" s="74" t="s">
        <v>203</v>
      </c>
    </row>
    <row r="4" spans="1:11" ht="15" customHeight="1">
      <c r="A4" s="260" t="s">
        <v>616</v>
      </c>
      <c r="B4" s="260"/>
      <c r="C4" s="260"/>
      <c r="D4" s="260"/>
      <c r="E4" s="260"/>
      <c r="F4" s="260"/>
      <c r="G4" s="260"/>
      <c r="H4" s="260"/>
      <c r="I4" s="260"/>
    </row>
    <row r="5" spans="1:11">
      <c r="A5" s="135"/>
      <c r="B5" s="135"/>
      <c r="C5" s="135"/>
      <c r="D5" s="135"/>
      <c r="E5" s="135"/>
      <c r="F5" s="135"/>
      <c r="G5" s="135"/>
      <c r="H5" s="135"/>
      <c r="I5" s="135"/>
    </row>
    <row r="6" spans="1:11" ht="18.75">
      <c r="A6" s="74" t="s">
        <v>24</v>
      </c>
    </row>
    <row r="7" spans="1:11" ht="15.75">
      <c r="A7" s="80" t="s">
        <v>617</v>
      </c>
    </row>
    <row r="9" spans="1:11" ht="15.75">
      <c r="A9" s="73" t="s">
        <v>575</v>
      </c>
    </row>
    <row r="10" spans="1:11">
      <c r="A10" t="s">
        <v>618</v>
      </c>
    </row>
    <row r="11" spans="1:11">
      <c r="A11" s="149"/>
    </row>
    <row r="12" spans="1:11" ht="15.75">
      <c r="A12" s="73" t="s">
        <v>48</v>
      </c>
    </row>
    <row r="13" spans="1:11">
      <c r="A13" s="125" t="s">
        <v>605</v>
      </c>
    </row>
    <row r="14" spans="1:11">
      <c r="A14" s="245" t="s">
        <v>304</v>
      </c>
      <c r="B14" s="245"/>
      <c r="C14" s="128" t="s">
        <v>49</v>
      </c>
      <c r="D14" s="128" t="s">
        <v>217</v>
      </c>
    </row>
    <row r="15" spans="1:11">
      <c r="A15" s="265">
        <f ca="1">NOW()</f>
        <v>46079.979599652776</v>
      </c>
      <c r="B15" s="265"/>
      <c r="C15" s="143">
        <f ca="1">MINUTE(A15)</f>
        <v>30</v>
      </c>
      <c r="D15" s="143" t="s">
        <v>619</v>
      </c>
    </row>
    <row r="16" spans="1:11">
      <c r="A16" s="272">
        <v>0.42708333333333331</v>
      </c>
      <c r="B16" s="270"/>
      <c r="C16" s="143">
        <f>MINUTE(A16)</f>
        <v>15</v>
      </c>
      <c r="D16" s="143" t="s">
        <v>620</v>
      </c>
    </row>
    <row r="17" spans="1:4">
      <c r="A17" s="272">
        <v>0.93055555555555547</v>
      </c>
      <c r="B17" s="270"/>
      <c r="C17" s="143">
        <f>MINUTE(A17)</f>
        <v>20</v>
      </c>
      <c r="D17" s="143" t="s">
        <v>621</v>
      </c>
    </row>
    <row r="18" spans="1:4">
      <c r="A18" s="126"/>
      <c r="B18" s="126"/>
      <c r="C18" s="126"/>
    </row>
    <row r="19" spans="1:4" ht="15.75">
      <c r="A19" s="73" t="s">
        <v>235</v>
      </c>
    </row>
    <row r="20" spans="1:4">
      <c r="A20" s="125" t="s">
        <v>622</v>
      </c>
    </row>
    <row r="21" spans="1:4">
      <c r="A21" s="252" t="s">
        <v>304</v>
      </c>
      <c r="B21" s="254"/>
      <c r="C21" s="128" t="s">
        <v>338</v>
      </c>
    </row>
    <row r="22" spans="1:4">
      <c r="A22" s="265">
        <v>42766.034722222219</v>
      </c>
      <c r="B22" s="265">
        <v>1</v>
      </c>
      <c r="C22" s="143">
        <f>MINUTE(A22)</f>
        <v>50</v>
      </c>
    </row>
    <row r="23" spans="1:4">
      <c r="A23" s="265">
        <v>42736.000694444447</v>
      </c>
      <c r="B23" s="270">
        <v>2</v>
      </c>
      <c r="C23" s="223">
        <f t="shared" ref="C23:C24" si="0">MINUTE(A23)</f>
        <v>1</v>
      </c>
    </row>
    <row r="24" spans="1:4">
      <c r="A24" s="272">
        <v>3.125E-2</v>
      </c>
      <c r="B24" s="270">
        <v>3</v>
      </c>
      <c r="C24" s="223">
        <f t="shared" si="0"/>
        <v>45</v>
      </c>
    </row>
  </sheetData>
  <mergeCells count="10">
    <mergeCell ref="A1:B1"/>
    <mergeCell ref="A4:I4"/>
    <mergeCell ref="A14:B14"/>
    <mergeCell ref="A15:B15"/>
    <mergeCell ref="A16:B16"/>
    <mergeCell ref="A22:B22"/>
    <mergeCell ref="A23:B23"/>
    <mergeCell ref="A24:B24"/>
    <mergeCell ref="A17:B17"/>
    <mergeCell ref="A21:B21"/>
  </mergeCells>
  <pageMargins left="0.7" right="0.7" top="0.75" bottom="0.75" header="0.3" footer="0.3"/>
  <pageSetup orientation="portrait" horizontalDpi="4294967293" verticalDpi="4294967293"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24"/>
  <sheetViews>
    <sheetView showGridLines="0" topLeftCell="A6" zoomScale="90" zoomScaleNormal="90" workbookViewId="0">
      <selection activeCell="C22" sqref="C22:C24"/>
    </sheetView>
  </sheetViews>
  <sheetFormatPr defaultRowHeight="15"/>
  <cols>
    <col min="1" max="1" width="12.85546875" customWidth="1"/>
    <col min="2" max="2" width="12.7109375" customWidth="1"/>
    <col min="3" max="3" width="10.140625" customWidth="1"/>
    <col min="4" max="5" width="17.140625" bestFit="1"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178</v>
      </c>
      <c r="B1" s="259"/>
      <c r="C1" s="112"/>
      <c r="D1" s="76"/>
      <c r="E1" s="76"/>
      <c r="F1" s="76"/>
      <c r="G1" s="76"/>
      <c r="H1" s="76"/>
      <c r="I1" s="76"/>
      <c r="J1" s="76"/>
      <c r="K1" s="76"/>
    </row>
    <row r="2" spans="1:11" ht="15.75" thickTop="1"/>
    <row r="3" spans="1:11" ht="18.75">
      <c r="A3" s="74" t="s">
        <v>203</v>
      </c>
    </row>
    <row r="4" spans="1:11" ht="15" customHeight="1">
      <c r="A4" s="260" t="s">
        <v>623</v>
      </c>
      <c r="B4" s="260"/>
      <c r="C4" s="260"/>
      <c r="D4" s="260"/>
      <c r="E4" s="260"/>
      <c r="F4" s="260"/>
      <c r="G4" s="260"/>
      <c r="H4" s="260"/>
      <c r="I4" s="260"/>
    </row>
    <row r="5" spans="1:11">
      <c r="A5" s="135"/>
      <c r="B5" s="135"/>
      <c r="C5" s="135"/>
      <c r="D5" s="135"/>
      <c r="E5" s="135"/>
      <c r="F5" s="135"/>
      <c r="G5" s="135"/>
      <c r="H5" s="135"/>
      <c r="I5" s="135"/>
    </row>
    <row r="6" spans="1:11" ht="18.75">
      <c r="A6" s="74" t="s">
        <v>24</v>
      </c>
    </row>
    <row r="7" spans="1:11" ht="15.75">
      <c r="A7" s="80" t="s">
        <v>624</v>
      </c>
    </row>
    <row r="9" spans="1:11" ht="15.75">
      <c r="A9" s="73" t="s">
        <v>575</v>
      </c>
    </row>
    <row r="10" spans="1:11">
      <c r="A10" t="s">
        <v>625</v>
      </c>
    </row>
    <row r="11" spans="1:11">
      <c r="A11" s="149"/>
    </row>
    <row r="12" spans="1:11" ht="15.75">
      <c r="A12" s="73" t="s">
        <v>48</v>
      </c>
    </row>
    <row r="13" spans="1:11">
      <c r="A13" s="125" t="s">
        <v>605</v>
      </c>
    </row>
    <row r="14" spans="1:11">
      <c r="A14" s="245" t="s">
        <v>304</v>
      </c>
      <c r="B14" s="245"/>
      <c r="C14" s="128" t="s">
        <v>49</v>
      </c>
      <c r="D14" s="128" t="s">
        <v>217</v>
      </c>
    </row>
    <row r="15" spans="1:11">
      <c r="A15" s="265">
        <f ca="1">NOW()</f>
        <v>46079.979599652776</v>
      </c>
      <c r="B15" s="265"/>
      <c r="C15" s="143">
        <f ca="1">HOUR(A15)</f>
        <v>23</v>
      </c>
      <c r="D15" s="143" t="s">
        <v>626</v>
      </c>
    </row>
    <row r="16" spans="1:11">
      <c r="A16" s="272">
        <v>0.42708333333333331</v>
      </c>
      <c r="B16" s="270"/>
      <c r="C16" s="143">
        <f t="shared" ref="C16:C17" si="0">HOUR(A16)</f>
        <v>10</v>
      </c>
      <c r="D16" s="143" t="s">
        <v>627</v>
      </c>
    </row>
    <row r="17" spans="1:4">
      <c r="A17" s="272">
        <v>0.99998842592592585</v>
      </c>
      <c r="B17" s="270"/>
      <c r="C17" s="143">
        <f t="shared" si="0"/>
        <v>23</v>
      </c>
      <c r="D17" s="143" t="s">
        <v>628</v>
      </c>
    </row>
    <row r="18" spans="1:4">
      <c r="A18" s="126"/>
      <c r="B18" s="126"/>
      <c r="C18" s="126"/>
    </row>
    <row r="19" spans="1:4" ht="15.75">
      <c r="A19" s="73" t="s">
        <v>235</v>
      </c>
    </row>
    <row r="20" spans="1:4">
      <c r="A20" s="125" t="s">
        <v>629</v>
      </c>
    </row>
    <row r="21" spans="1:4">
      <c r="A21" s="252" t="s">
        <v>304</v>
      </c>
      <c r="B21" s="254"/>
      <c r="C21" s="128" t="s">
        <v>338</v>
      </c>
    </row>
    <row r="22" spans="1:4">
      <c r="A22" s="265">
        <v>42766.034722222219</v>
      </c>
      <c r="B22" s="265">
        <v>1</v>
      </c>
      <c r="C22" s="143">
        <f>HOUR(A22)</f>
        <v>0</v>
      </c>
    </row>
    <row r="23" spans="1:4">
      <c r="A23" s="265">
        <v>42736.959027777775</v>
      </c>
      <c r="B23" s="270">
        <v>2</v>
      </c>
      <c r="C23" s="223">
        <f t="shared" ref="C23:C24" si="1">HOUR(A23)</f>
        <v>23</v>
      </c>
    </row>
    <row r="24" spans="1:4">
      <c r="A24" s="272">
        <v>0.23958333333333334</v>
      </c>
      <c r="B24" s="270">
        <v>3</v>
      </c>
      <c r="C24" s="223">
        <f t="shared" si="1"/>
        <v>5</v>
      </c>
    </row>
  </sheetData>
  <mergeCells count="10">
    <mergeCell ref="A21:B21"/>
    <mergeCell ref="A22:B22"/>
    <mergeCell ref="A23:B23"/>
    <mergeCell ref="A24:B24"/>
    <mergeCell ref="A1:B1"/>
    <mergeCell ref="A4:I4"/>
    <mergeCell ref="A14:B14"/>
    <mergeCell ref="A15:B15"/>
    <mergeCell ref="A16:B16"/>
    <mergeCell ref="A17:B17"/>
  </mergeCells>
  <pageMargins left="0.7" right="0.7" top="0.75" bottom="0.75" header="0.3" footer="0.3"/>
  <pageSetup orientation="portrait" horizontalDpi="4294967293" verticalDpi="4294967293"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100"/>
  <sheetViews>
    <sheetView showGridLines="0" topLeftCell="A66" zoomScale="90" zoomScaleNormal="90" workbookViewId="0">
      <selection activeCell="B100" sqref="B100"/>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bestFit="1" customWidth="1"/>
    <col min="8" max="8" width="10.140625" customWidth="1"/>
    <col min="9" max="9" width="12.140625" customWidth="1"/>
    <col min="10" max="10" width="11.28515625" customWidth="1"/>
    <col min="11" max="11" width="11.140625" customWidth="1"/>
  </cols>
  <sheetData>
    <row r="1" spans="1:11" ht="32.25" thickBot="1">
      <c r="A1" s="259" t="s">
        <v>179</v>
      </c>
      <c r="B1" s="259"/>
      <c r="C1" s="259"/>
      <c r="D1" s="76"/>
      <c r="E1" s="76"/>
      <c r="F1" s="76"/>
      <c r="G1" s="76"/>
      <c r="H1" s="76"/>
      <c r="I1" s="76"/>
      <c r="J1" s="76"/>
      <c r="K1" s="76"/>
    </row>
    <row r="2" spans="1:11" ht="15.75" thickTop="1"/>
    <row r="3" spans="1:11" ht="18.75">
      <c r="A3" s="74" t="s">
        <v>203</v>
      </c>
    </row>
    <row r="4" spans="1:11" ht="15" customHeight="1">
      <c r="A4" s="260" t="s">
        <v>761</v>
      </c>
      <c r="B4" s="260"/>
      <c r="C4" s="260"/>
      <c r="D4" s="260"/>
      <c r="E4" s="260"/>
      <c r="F4" s="260"/>
      <c r="G4" s="260"/>
      <c r="H4" s="260"/>
      <c r="I4" s="260"/>
    </row>
    <row r="5" spans="1:11">
      <c r="A5" s="169"/>
      <c r="B5" s="169"/>
      <c r="C5" s="169"/>
      <c r="D5" s="169"/>
      <c r="E5" s="169"/>
      <c r="F5" s="169"/>
      <c r="G5" s="169"/>
      <c r="H5" s="169"/>
      <c r="I5" s="169"/>
    </row>
    <row r="6" spans="1:11" ht="18.75">
      <c r="A6" s="74" t="s">
        <v>24</v>
      </c>
    </row>
    <row r="7" spans="1:11" ht="15.75">
      <c r="A7" s="80" t="s">
        <v>757</v>
      </c>
    </row>
    <row r="9" spans="1:11" ht="15.75">
      <c r="A9" s="73" t="s">
        <v>756</v>
      </c>
    </row>
    <row r="10" spans="1:11">
      <c r="A10" t="s">
        <v>762</v>
      </c>
    </row>
    <row r="11" spans="1:11">
      <c r="A11" s="149"/>
    </row>
    <row r="12" spans="1:11" ht="15.75">
      <c r="A12" s="73" t="s">
        <v>758</v>
      </c>
    </row>
    <row r="13" spans="1:11">
      <c r="A13" s="227" t="s">
        <v>802</v>
      </c>
      <c r="B13" s="227"/>
      <c r="C13" s="227"/>
      <c r="D13" s="227"/>
      <c r="E13" s="227"/>
      <c r="F13" s="227"/>
      <c r="G13" s="227"/>
      <c r="H13" s="227"/>
      <c r="I13" s="227"/>
      <c r="J13" s="227"/>
    </row>
    <row r="14" spans="1:11">
      <c r="A14" s="227"/>
      <c r="B14" s="227"/>
      <c r="C14" s="227"/>
      <c r="D14" s="227"/>
      <c r="E14" s="227"/>
      <c r="F14" s="227"/>
      <c r="G14" s="227"/>
      <c r="H14" s="227"/>
      <c r="I14" s="227"/>
      <c r="J14" s="227"/>
    </row>
    <row r="15" spans="1:11">
      <c r="A15" s="165"/>
      <c r="B15" s="165"/>
      <c r="C15" s="165"/>
      <c r="D15" s="165"/>
      <c r="E15" s="165"/>
      <c r="F15" s="165"/>
      <c r="G15" s="165"/>
      <c r="H15" s="165"/>
      <c r="I15" s="165"/>
      <c r="J15" s="165"/>
    </row>
    <row r="16" spans="1:11" ht="15.75">
      <c r="A16" s="73" t="s">
        <v>759</v>
      </c>
    </row>
    <row r="17" spans="1:16">
      <c r="A17" t="s">
        <v>763</v>
      </c>
    </row>
    <row r="18" spans="1:16">
      <c r="A18" s="149"/>
    </row>
    <row r="19" spans="1:16" ht="15.75">
      <c r="A19" s="73" t="s">
        <v>760</v>
      </c>
    </row>
    <row r="20" spans="1:16">
      <c r="A20" t="s">
        <v>796</v>
      </c>
    </row>
    <row r="21" spans="1:16">
      <c r="A21" s="149"/>
    </row>
    <row r="22" spans="1:16" ht="15.75">
      <c r="A22" s="73" t="s">
        <v>44</v>
      </c>
    </row>
    <row r="23" spans="1:16">
      <c r="A23" s="125" t="s">
        <v>767</v>
      </c>
    </row>
    <row r="24" spans="1:16">
      <c r="A24" s="167" t="s">
        <v>90</v>
      </c>
      <c r="B24" s="167" t="s">
        <v>764</v>
      </c>
      <c r="C24" s="167" t="s">
        <v>765</v>
      </c>
      <c r="D24" s="167" t="s">
        <v>766</v>
      </c>
    </row>
    <row r="25" spans="1:16">
      <c r="A25" s="168" t="s">
        <v>95</v>
      </c>
      <c r="B25" s="185">
        <v>2500</v>
      </c>
      <c r="C25" s="185">
        <v>2000</v>
      </c>
      <c r="D25" s="185">
        <v>3000</v>
      </c>
    </row>
    <row r="26" spans="1:16">
      <c r="A26" s="168" t="s">
        <v>96</v>
      </c>
      <c r="B26" s="185">
        <v>5000</v>
      </c>
      <c r="C26" s="185">
        <v>4999</v>
      </c>
      <c r="D26" s="185">
        <v>5200</v>
      </c>
    </row>
    <row r="27" spans="1:16">
      <c r="A27" s="168" t="s">
        <v>97</v>
      </c>
      <c r="B27" s="185">
        <v>1250</v>
      </c>
      <c r="C27" s="185">
        <v>1302</v>
      </c>
      <c r="D27" s="185">
        <v>1100</v>
      </c>
    </row>
    <row r="28" spans="1:16">
      <c r="A28" s="168" t="s">
        <v>92</v>
      </c>
      <c r="B28" s="185">
        <v>250</v>
      </c>
      <c r="C28" s="185">
        <v>300</v>
      </c>
      <c r="D28" s="185">
        <v>200</v>
      </c>
    </row>
    <row r="29" spans="1:16">
      <c r="A29" s="168" t="s">
        <v>98</v>
      </c>
      <c r="B29" s="185">
        <v>300</v>
      </c>
      <c r="C29" s="185">
        <v>290</v>
      </c>
      <c r="D29" s="185">
        <v>310</v>
      </c>
    </row>
    <row r="30" spans="1:16">
      <c r="A30" s="1"/>
      <c r="B30" s="1"/>
      <c r="C30" s="1"/>
      <c r="D30" s="1"/>
    </row>
    <row r="31" spans="1:16" ht="15" customHeight="1">
      <c r="A31" s="167" t="s">
        <v>87</v>
      </c>
      <c r="B31" s="167" t="s">
        <v>88</v>
      </c>
      <c r="C31" s="167" t="s">
        <v>89</v>
      </c>
      <c r="D31" s="245" t="s">
        <v>217</v>
      </c>
      <c r="E31" s="245"/>
      <c r="F31" s="245"/>
      <c r="H31" s="276" t="s">
        <v>776</v>
      </c>
      <c r="I31" s="276"/>
      <c r="J31" s="276"/>
      <c r="K31" s="276"/>
      <c r="L31" s="276"/>
      <c r="M31" s="276"/>
      <c r="N31" s="276"/>
      <c r="O31" s="276"/>
      <c r="P31" s="276"/>
    </row>
    <row r="32" spans="1:16">
      <c r="A32" s="168" t="s">
        <v>764</v>
      </c>
      <c r="B32" s="168" t="s">
        <v>92</v>
      </c>
      <c r="C32" s="69">
        <f>VLOOKUP(B32,$A$25:$B$29,2,FALSE)</f>
        <v>250</v>
      </c>
      <c r="D32" s="274" t="s">
        <v>768</v>
      </c>
      <c r="E32" s="274"/>
      <c r="F32" s="274"/>
      <c r="H32" s="276"/>
      <c r="I32" s="276"/>
      <c r="J32" s="276"/>
      <c r="K32" s="276"/>
      <c r="L32" s="276"/>
      <c r="M32" s="276"/>
      <c r="N32" s="276"/>
      <c r="O32" s="276"/>
      <c r="P32" s="276"/>
    </row>
    <row r="33" spans="1:16">
      <c r="A33" s="168" t="s">
        <v>765</v>
      </c>
      <c r="B33" s="168" t="s">
        <v>95</v>
      </c>
      <c r="C33" s="69">
        <f>VLOOKUP(B33,$A$25:$C$29,3,FALSE)</f>
        <v>2000</v>
      </c>
      <c r="D33" s="274" t="s">
        <v>769</v>
      </c>
      <c r="E33" s="274"/>
      <c r="F33" s="274"/>
      <c r="H33" s="276"/>
      <c r="I33" s="276"/>
      <c r="J33" s="276"/>
      <c r="K33" s="276"/>
      <c r="L33" s="276"/>
      <c r="M33" s="276"/>
      <c r="N33" s="276"/>
      <c r="O33" s="276"/>
      <c r="P33" s="276"/>
    </row>
    <row r="34" spans="1:16">
      <c r="A34" s="168" t="s">
        <v>766</v>
      </c>
      <c r="B34" s="168" t="s">
        <v>96</v>
      </c>
      <c r="C34" s="69">
        <f>VLOOKUP(B34,$A$25:$D$29,4,FALSE)</f>
        <v>5200</v>
      </c>
      <c r="D34" s="274" t="s">
        <v>770</v>
      </c>
      <c r="E34" s="274"/>
      <c r="F34" s="274"/>
      <c r="H34" s="276"/>
      <c r="I34" s="276"/>
      <c r="J34" s="276"/>
      <c r="K34" s="276"/>
      <c r="L34" s="276"/>
      <c r="M34" s="276"/>
      <c r="N34" s="276"/>
      <c r="O34" s="276"/>
      <c r="P34" s="276"/>
    </row>
    <row r="35" spans="1:16">
      <c r="A35" s="168" t="s">
        <v>766</v>
      </c>
      <c r="B35" s="168" t="s">
        <v>97</v>
      </c>
      <c r="C35" s="69">
        <f>VLOOKUP(B35,$A$25:$D$29,4,FALSE)</f>
        <v>1100</v>
      </c>
      <c r="D35" s="274" t="s">
        <v>771</v>
      </c>
      <c r="E35" s="274"/>
      <c r="F35" s="274"/>
      <c r="H35" s="276"/>
      <c r="I35" s="276"/>
      <c r="J35" s="276"/>
      <c r="K35" s="276"/>
      <c r="L35" s="276"/>
      <c r="M35" s="276"/>
      <c r="N35" s="276"/>
      <c r="O35" s="276"/>
      <c r="P35" s="276"/>
    </row>
    <row r="36" spans="1:16">
      <c r="A36" s="168" t="s">
        <v>764</v>
      </c>
      <c r="B36" s="168" t="s">
        <v>92</v>
      </c>
      <c r="C36" s="69">
        <f>VLOOKUP(B36,$A$25:$B$29,2,FALSE)</f>
        <v>250</v>
      </c>
      <c r="D36" s="274" t="s">
        <v>772</v>
      </c>
      <c r="E36" s="274"/>
      <c r="F36" s="274"/>
      <c r="H36" s="276"/>
      <c r="I36" s="276"/>
      <c r="J36" s="276"/>
      <c r="K36" s="276"/>
      <c r="L36" s="276"/>
      <c r="M36" s="276"/>
      <c r="N36" s="276"/>
      <c r="O36" s="276"/>
      <c r="P36" s="276"/>
    </row>
    <row r="37" spans="1:16">
      <c r="A37" s="168" t="s">
        <v>764</v>
      </c>
      <c r="B37" s="168" t="s">
        <v>98</v>
      </c>
      <c r="C37" s="69">
        <f>VLOOKUP(B37,$A$25:$B$29,2,FALSE)</f>
        <v>300</v>
      </c>
      <c r="D37" s="274" t="s">
        <v>773</v>
      </c>
      <c r="E37" s="274"/>
      <c r="F37" s="274"/>
      <c r="H37" s="276"/>
      <c r="I37" s="276"/>
      <c r="J37" s="276"/>
      <c r="K37" s="276"/>
      <c r="L37" s="276"/>
      <c r="M37" s="276"/>
      <c r="N37" s="276"/>
      <c r="O37" s="276"/>
      <c r="P37" s="276"/>
    </row>
    <row r="38" spans="1:16">
      <c r="A38" s="168" t="s">
        <v>765</v>
      </c>
      <c r="B38" s="168" t="s">
        <v>95</v>
      </c>
      <c r="C38" s="69">
        <f>VLOOKUP(B38,$A$25:$C$29,3,FALSE)</f>
        <v>2000</v>
      </c>
      <c r="D38" s="274" t="s">
        <v>774</v>
      </c>
      <c r="E38" s="274"/>
      <c r="F38" s="274"/>
      <c r="H38" s="276"/>
      <c r="I38" s="276"/>
      <c r="J38" s="276"/>
      <c r="K38" s="276"/>
      <c r="L38" s="276"/>
      <c r="M38" s="276"/>
      <c r="N38" s="276"/>
      <c r="O38" s="276"/>
      <c r="P38" s="276"/>
    </row>
    <row r="39" spans="1:16">
      <c r="A39" s="168" t="s">
        <v>765</v>
      </c>
      <c r="B39" s="168" t="s">
        <v>96</v>
      </c>
      <c r="C39" s="69">
        <f>VLOOKUP(B39,$A$25:$C$29,3,FALSE)</f>
        <v>4999</v>
      </c>
      <c r="D39" s="274" t="s">
        <v>775</v>
      </c>
      <c r="E39" s="274"/>
      <c r="F39" s="274"/>
      <c r="H39" s="276"/>
      <c r="I39" s="276"/>
      <c r="J39" s="276"/>
      <c r="K39" s="276"/>
      <c r="L39" s="276"/>
      <c r="M39" s="276"/>
      <c r="N39" s="276"/>
      <c r="O39" s="276"/>
      <c r="P39" s="276"/>
    </row>
    <row r="42" spans="1:16" ht="15.75">
      <c r="A42" s="73" t="s">
        <v>78</v>
      </c>
    </row>
    <row r="43" spans="1:16">
      <c r="A43" s="227" t="s">
        <v>777</v>
      </c>
      <c r="B43" s="227"/>
      <c r="C43" s="227"/>
      <c r="D43" s="227"/>
      <c r="E43" s="227"/>
      <c r="F43" s="227"/>
      <c r="G43" s="227"/>
      <c r="H43" s="227"/>
      <c r="I43" s="227"/>
      <c r="J43" s="227"/>
    </row>
    <row r="44" spans="1:16">
      <c r="A44" s="227"/>
      <c r="B44" s="227"/>
      <c r="C44" s="227"/>
      <c r="D44" s="227"/>
      <c r="E44" s="227"/>
      <c r="F44" s="227"/>
      <c r="G44" s="227"/>
      <c r="H44" s="227"/>
      <c r="I44" s="227"/>
      <c r="J44" s="227"/>
    </row>
    <row r="45" spans="1:16">
      <c r="A45" s="275" t="s">
        <v>137</v>
      </c>
      <c r="B45" s="275"/>
      <c r="C45" s="165"/>
      <c r="D45" s="275" t="s">
        <v>138</v>
      </c>
      <c r="E45" s="275"/>
      <c r="F45" s="165"/>
      <c r="G45" s="165"/>
      <c r="H45" s="165"/>
      <c r="I45" s="165"/>
      <c r="J45" s="165"/>
    </row>
    <row r="46" spans="1:16">
      <c r="A46" s="167" t="s">
        <v>778</v>
      </c>
      <c r="B46" s="167" t="s">
        <v>89</v>
      </c>
      <c r="D46" s="167" t="s">
        <v>778</v>
      </c>
      <c r="E46" s="167" t="s">
        <v>783</v>
      </c>
    </row>
    <row r="47" spans="1:16">
      <c r="A47" s="168" t="s">
        <v>779</v>
      </c>
      <c r="B47" s="186">
        <v>5.0999999999999996</v>
      </c>
      <c r="D47" s="168" t="s">
        <v>779</v>
      </c>
      <c r="E47" s="186">
        <v>7.5</v>
      </c>
    </row>
    <row r="48" spans="1:16">
      <c r="A48" s="168" t="s">
        <v>780</v>
      </c>
      <c r="B48" s="186">
        <v>1.1000000000000001</v>
      </c>
      <c r="D48" s="168" t="s">
        <v>780</v>
      </c>
      <c r="E48" s="186">
        <v>1.1499999999999999</v>
      </c>
    </row>
    <row r="49" spans="1:11">
      <c r="A49" s="168" t="s">
        <v>781</v>
      </c>
      <c r="B49" s="186">
        <v>1.5</v>
      </c>
      <c r="D49" s="168" t="s">
        <v>781</v>
      </c>
      <c r="E49" s="186">
        <v>2.5</v>
      </c>
    </row>
    <row r="50" spans="1:11">
      <c r="A50" s="168" t="s">
        <v>782</v>
      </c>
      <c r="B50" s="186">
        <v>2.5</v>
      </c>
      <c r="D50" s="168" t="s">
        <v>782</v>
      </c>
      <c r="E50" s="186">
        <v>3.75</v>
      </c>
    </row>
    <row r="52" spans="1:11">
      <c r="A52" s="229" t="s">
        <v>784</v>
      </c>
      <c r="B52" s="229"/>
      <c r="C52" s="229"/>
      <c r="D52" s="229"/>
      <c r="E52" s="229"/>
      <c r="F52" s="229"/>
      <c r="G52" s="229"/>
      <c r="H52" s="229"/>
      <c r="I52" s="229"/>
      <c r="J52" s="229"/>
      <c r="K52" s="229"/>
    </row>
    <row r="53" spans="1:11">
      <c r="A53" s="167" t="s">
        <v>778</v>
      </c>
      <c r="B53" s="167" t="s">
        <v>130</v>
      </c>
      <c r="C53" s="167" t="s">
        <v>89</v>
      </c>
      <c r="D53" s="167" t="s">
        <v>783</v>
      </c>
      <c r="E53" s="167" t="s">
        <v>785</v>
      </c>
      <c r="F53" s="245" t="s">
        <v>790</v>
      </c>
      <c r="G53" s="245"/>
      <c r="H53" s="245"/>
      <c r="I53" s="245" t="s">
        <v>795</v>
      </c>
      <c r="J53" s="245"/>
      <c r="K53" s="245"/>
    </row>
    <row r="54" spans="1:11">
      <c r="A54" s="168" t="s">
        <v>779</v>
      </c>
      <c r="B54" s="171">
        <v>500</v>
      </c>
      <c r="C54" s="188">
        <f>VLOOKUP(A54,$A$47:$B$50,2,FALSE)</f>
        <v>5.0999999999999996</v>
      </c>
      <c r="D54" s="187">
        <f>VLOOKUP(A54,$D$47:$E$50,2,FALSE)</f>
        <v>7.5</v>
      </c>
      <c r="E54" s="186">
        <f>(D54-C54)*B54</f>
        <v>1200.0000000000002</v>
      </c>
      <c r="F54" s="273" t="s">
        <v>786</v>
      </c>
      <c r="G54" s="273"/>
      <c r="H54" s="273"/>
      <c r="I54" s="274" t="s">
        <v>791</v>
      </c>
      <c r="J54" s="274"/>
      <c r="K54" s="274"/>
    </row>
    <row r="55" spans="1:11">
      <c r="A55" s="168" t="s">
        <v>780</v>
      </c>
      <c r="B55" s="171">
        <v>100</v>
      </c>
      <c r="C55" s="188">
        <f t="shared" ref="C55:C58" si="0">VLOOKUP(A55,$A$47:$B$50,2,FALSE)</f>
        <v>1.1000000000000001</v>
      </c>
      <c r="D55" s="187">
        <f t="shared" ref="D55:D58" si="1">VLOOKUP(A55,$D$47:$E$50,2,FALSE)</f>
        <v>1.1499999999999999</v>
      </c>
      <c r="E55" s="186">
        <f t="shared" ref="E55:E57" si="2">(D55-C55)*B55</f>
        <v>4.9999999999999822</v>
      </c>
      <c r="F55" s="273" t="s">
        <v>787</v>
      </c>
      <c r="G55" s="273"/>
      <c r="H55" s="273"/>
      <c r="I55" s="274" t="s">
        <v>792</v>
      </c>
      <c r="J55" s="274"/>
      <c r="K55" s="274"/>
    </row>
    <row r="56" spans="1:11">
      <c r="A56" s="168" t="s">
        <v>781</v>
      </c>
      <c r="B56" s="171">
        <v>250</v>
      </c>
      <c r="C56" s="188">
        <f t="shared" si="0"/>
        <v>1.5</v>
      </c>
      <c r="D56" s="187">
        <f t="shared" si="1"/>
        <v>2.5</v>
      </c>
      <c r="E56" s="186">
        <f t="shared" si="2"/>
        <v>250</v>
      </c>
      <c r="F56" s="273" t="s">
        <v>788</v>
      </c>
      <c r="G56" s="273"/>
      <c r="H56" s="273"/>
      <c r="I56" s="274" t="s">
        <v>793</v>
      </c>
      <c r="J56" s="274"/>
      <c r="K56" s="274"/>
    </row>
    <row r="57" spans="1:11">
      <c r="A57" s="168" t="s">
        <v>782</v>
      </c>
      <c r="B57" s="171">
        <v>100</v>
      </c>
      <c r="C57" s="188">
        <f t="shared" si="0"/>
        <v>2.5</v>
      </c>
      <c r="D57" s="187">
        <f t="shared" si="1"/>
        <v>3.75</v>
      </c>
      <c r="E57" s="186">
        <f t="shared" si="2"/>
        <v>125</v>
      </c>
      <c r="F57" s="273" t="s">
        <v>789</v>
      </c>
      <c r="G57" s="273"/>
      <c r="H57" s="273"/>
      <c r="I57" s="274" t="s">
        <v>794</v>
      </c>
      <c r="J57" s="274"/>
      <c r="K57" s="274"/>
    </row>
    <row r="58" spans="1:11">
      <c r="A58" s="168" t="s">
        <v>797</v>
      </c>
      <c r="B58" s="171">
        <v>990</v>
      </c>
      <c r="C58" s="188" t="e">
        <f t="shared" si="0"/>
        <v>#N/A</v>
      </c>
      <c r="D58" s="187" t="e">
        <f t="shared" si="1"/>
        <v>#N/A</v>
      </c>
      <c r="E58" s="186"/>
      <c r="F58" s="273" t="s">
        <v>798</v>
      </c>
      <c r="G58" s="273"/>
      <c r="H58" s="273"/>
      <c r="I58" s="274" t="s">
        <v>799</v>
      </c>
      <c r="J58" s="274"/>
      <c r="K58" s="274"/>
    </row>
    <row r="59" spans="1:11">
      <c r="A59" s="190" t="s">
        <v>813</v>
      </c>
    </row>
    <row r="63" spans="1:11" ht="15" customHeight="1">
      <c r="B63" s="241" t="s">
        <v>800</v>
      </c>
      <c r="C63" s="241"/>
      <c r="D63" s="241"/>
    </row>
    <row r="64" spans="1:11">
      <c r="B64" s="241"/>
      <c r="C64" s="241"/>
      <c r="D64" s="241"/>
    </row>
    <row r="65" spans="1:10">
      <c r="B65" s="241"/>
      <c r="C65" s="241"/>
      <c r="D65" s="241"/>
    </row>
    <row r="66" spans="1:10">
      <c r="B66" s="241"/>
      <c r="C66" s="241"/>
      <c r="D66" s="241"/>
    </row>
    <row r="69" spans="1:10" ht="15.75">
      <c r="A69" s="73" t="s">
        <v>454</v>
      </c>
    </row>
    <row r="70" spans="1:10">
      <c r="A70" s="227" t="s">
        <v>801</v>
      </c>
      <c r="B70" s="227"/>
      <c r="C70" s="227"/>
      <c r="D70" s="227"/>
      <c r="E70" s="227"/>
      <c r="F70" s="227"/>
      <c r="G70" s="227"/>
      <c r="H70" s="227"/>
      <c r="I70" s="227"/>
      <c r="J70" s="227"/>
    </row>
    <row r="71" spans="1:10">
      <c r="A71" s="227"/>
      <c r="B71" s="227"/>
      <c r="C71" s="227"/>
      <c r="D71" s="227"/>
      <c r="E71" s="227"/>
      <c r="F71" s="227"/>
      <c r="G71" s="227"/>
      <c r="H71" s="227"/>
      <c r="I71" s="227"/>
      <c r="J71" s="227"/>
    </row>
    <row r="72" spans="1:10">
      <c r="A72" s="275" t="s">
        <v>137</v>
      </c>
      <c r="B72" s="275"/>
      <c r="C72" s="165"/>
      <c r="D72" s="275" t="s">
        <v>138</v>
      </c>
      <c r="E72" s="275"/>
      <c r="F72" s="165"/>
      <c r="G72" s="275" t="s">
        <v>784</v>
      </c>
      <c r="H72" s="275"/>
      <c r="I72" s="165"/>
      <c r="J72" s="165"/>
    </row>
    <row r="73" spans="1:10">
      <c r="A73" s="167" t="s">
        <v>803</v>
      </c>
      <c r="B73" s="167" t="s">
        <v>224</v>
      </c>
      <c r="D73" s="167" t="s">
        <v>803</v>
      </c>
      <c r="E73" s="167" t="s">
        <v>227</v>
      </c>
      <c r="G73" s="167" t="s">
        <v>803</v>
      </c>
      <c r="H73" s="167" t="s">
        <v>810</v>
      </c>
    </row>
    <row r="74" spans="1:10">
      <c r="A74" s="168" t="s">
        <v>804</v>
      </c>
      <c r="B74" s="189" t="s">
        <v>225</v>
      </c>
      <c r="D74" s="168" t="s">
        <v>804</v>
      </c>
      <c r="E74" s="189">
        <v>85000</v>
      </c>
      <c r="G74" s="168" t="s">
        <v>804</v>
      </c>
      <c r="H74" s="189" t="s">
        <v>691</v>
      </c>
    </row>
    <row r="75" spans="1:10">
      <c r="A75" s="168" t="s">
        <v>805</v>
      </c>
      <c r="B75" s="189" t="s">
        <v>809</v>
      </c>
      <c r="D75" s="168" t="s">
        <v>805</v>
      </c>
      <c r="E75" s="189">
        <v>60000</v>
      </c>
      <c r="G75" s="168" t="s">
        <v>805</v>
      </c>
      <c r="H75" s="189" t="s">
        <v>691</v>
      </c>
    </row>
    <row r="76" spans="1:10">
      <c r="A76" s="168" t="s">
        <v>806</v>
      </c>
      <c r="B76" s="189" t="s">
        <v>225</v>
      </c>
      <c r="D76" s="168" t="s">
        <v>806</v>
      </c>
      <c r="E76" s="189">
        <v>65000</v>
      </c>
      <c r="G76" s="168" t="s">
        <v>806</v>
      </c>
      <c r="H76" s="189" t="s">
        <v>692</v>
      </c>
    </row>
    <row r="77" spans="1:10">
      <c r="A77" s="168" t="s">
        <v>807</v>
      </c>
      <c r="B77" s="189" t="s">
        <v>226</v>
      </c>
      <c r="D77" s="168" t="s">
        <v>807</v>
      </c>
      <c r="E77" s="189">
        <v>50000</v>
      </c>
      <c r="G77" s="168" t="s">
        <v>807</v>
      </c>
      <c r="H77" s="189" t="s">
        <v>690</v>
      </c>
    </row>
    <row r="78" spans="1:10">
      <c r="A78" s="168" t="s">
        <v>808</v>
      </c>
      <c r="B78" s="189" t="s">
        <v>226</v>
      </c>
      <c r="D78" s="168" t="s">
        <v>808</v>
      </c>
      <c r="E78" s="189">
        <v>45000</v>
      </c>
      <c r="G78" s="168" t="s">
        <v>808</v>
      </c>
      <c r="H78" s="189" t="s">
        <v>692</v>
      </c>
    </row>
    <row r="81" spans="1:6">
      <c r="A81" s="229" t="s">
        <v>811</v>
      </c>
      <c r="B81" s="229"/>
      <c r="C81" s="229"/>
      <c r="D81" s="229"/>
    </row>
    <row r="82" spans="1:6">
      <c r="A82" s="167" t="s">
        <v>803</v>
      </c>
      <c r="B82" s="167" t="s">
        <v>224</v>
      </c>
      <c r="C82" s="167" t="s">
        <v>227</v>
      </c>
      <c r="D82" s="167" t="s">
        <v>810</v>
      </c>
    </row>
    <row r="83" spans="1:6">
      <c r="A83" s="168" t="s">
        <v>807</v>
      </c>
      <c r="B83" s="86" t="str">
        <f>VLOOKUP(A83,$A$74:$B$78,2,FALSE)</f>
        <v>Analyst</v>
      </c>
      <c r="C83" s="189">
        <f>VLOOKUP(A83,$D$74:$E$78,2,FALSE)</f>
        <v>50000</v>
      </c>
      <c r="D83" s="86" t="str">
        <f>VLOOKUP(A83,$G$74:$H$78,2,FALSE)</f>
        <v>HR</v>
      </c>
    </row>
    <row r="84" spans="1:6">
      <c r="A84" s="168" t="s">
        <v>808</v>
      </c>
      <c r="B84" s="86" t="str">
        <f t="shared" ref="B84:B88" si="3">VLOOKUP(A84,$A$74:$B$78,2,FALSE)</f>
        <v>Analyst</v>
      </c>
      <c r="C84" s="189">
        <f t="shared" ref="C84:C88" si="4">VLOOKUP(A84,$D$74:$E$78,2,FALSE)</f>
        <v>45000</v>
      </c>
      <c r="D84" s="86" t="str">
        <f t="shared" ref="D84:D88" si="5">VLOOKUP(A84,$G$74:$H$78,2,FALSE)</f>
        <v>IT</v>
      </c>
    </row>
    <row r="85" spans="1:6">
      <c r="A85" s="168" t="s">
        <v>806</v>
      </c>
      <c r="B85" s="86" t="str">
        <f t="shared" si="3"/>
        <v>AVP</v>
      </c>
      <c r="C85" s="189">
        <f t="shared" si="4"/>
        <v>65000</v>
      </c>
      <c r="D85" s="86" t="str">
        <f t="shared" si="5"/>
        <v>IT</v>
      </c>
    </row>
    <row r="86" spans="1:6">
      <c r="A86" s="168" t="s">
        <v>804</v>
      </c>
      <c r="B86" s="86" t="str">
        <f t="shared" si="3"/>
        <v>AVP</v>
      </c>
      <c r="C86" s="189">
        <f t="shared" si="4"/>
        <v>85000</v>
      </c>
      <c r="D86" s="86" t="str">
        <f t="shared" si="5"/>
        <v>Analytics</v>
      </c>
    </row>
    <row r="87" spans="1:6">
      <c r="A87" s="168" t="s">
        <v>812</v>
      </c>
      <c r="B87" s="86" t="e">
        <f t="shared" si="3"/>
        <v>#N/A</v>
      </c>
      <c r="C87" s="189" t="e">
        <f t="shared" si="4"/>
        <v>#N/A</v>
      </c>
      <c r="D87" s="86" t="e">
        <f t="shared" si="5"/>
        <v>#N/A</v>
      </c>
    </row>
    <row r="88" spans="1:6">
      <c r="A88" s="168" t="s">
        <v>805</v>
      </c>
      <c r="B88" s="86" t="str">
        <f t="shared" si="3"/>
        <v>Analayst</v>
      </c>
      <c r="C88" s="189">
        <f t="shared" si="4"/>
        <v>60000</v>
      </c>
      <c r="D88" s="86" t="str">
        <f t="shared" si="5"/>
        <v>Analytics</v>
      </c>
    </row>
    <row r="91" spans="1:6" ht="15.75">
      <c r="A91" s="73" t="s">
        <v>455</v>
      </c>
    </row>
    <row r="92" spans="1:6">
      <c r="A92" s="125" t="s">
        <v>814</v>
      </c>
    </row>
    <row r="93" spans="1:6" ht="15" customHeight="1">
      <c r="A93" s="167" t="s">
        <v>90</v>
      </c>
      <c r="B93" s="167" t="s">
        <v>95</v>
      </c>
      <c r="C93" s="167" t="s">
        <v>96</v>
      </c>
      <c r="D93" s="167" t="s">
        <v>97</v>
      </c>
      <c r="E93" s="167" t="s">
        <v>92</v>
      </c>
      <c r="F93" s="167" t="s">
        <v>98</v>
      </c>
    </row>
    <row r="94" spans="1:6">
      <c r="A94" s="170" t="s">
        <v>764</v>
      </c>
      <c r="B94" s="185">
        <v>2500</v>
      </c>
      <c r="C94" s="185">
        <v>5000</v>
      </c>
      <c r="D94" s="185">
        <v>1250</v>
      </c>
      <c r="E94" s="185">
        <v>250</v>
      </c>
      <c r="F94" s="185">
        <v>300</v>
      </c>
    </row>
    <row r="95" spans="1:6">
      <c r="A95" s="170" t="s">
        <v>765</v>
      </c>
      <c r="B95" s="185">
        <v>2000</v>
      </c>
      <c r="C95" s="185">
        <v>4999</v>
      </c>
      <c r="D95" s="185">
        <v>1302</v>
      </c>
      <c r="E95" s="185">
        <v>300</v>
      </c>
      <c r="F95" s="185">
        <v>290</v>
      </c>
    </row>
    <row r="96" spans="1:6">
      <c r="A96" s="170" t="s">
        <v>766</v>
      </c>
      <c r="B96" s="185">
        <v>3000</v>
      </c>
      <c r="C96" s="185">
        <v>5200</v>
      </c>
      <c r="D96" s="185">
        <v>1100</v>
      </c>
      <c r="E96" s="185">
        <v>200</v>
      </c>
      <c r="F96" s="185">
        <v>310</v>
      </c>
    </row>
    <row r="98" spans="1:9">
      <c r="A98" s="167" t="s">
        <v>87</v>
      </c>
      <c r="B98" s="168" t="s">
        <v>764</v>
      </c>
      <c r="C98" s="168" t="s">
        <v>765</v>
      </c>
      <c r="D98" s="168" t="s">
        <v>766</v>
      </c>
      <c r="E98" s="168" t="s">
        <v>766</v>
      </c>
      <c r="F98" s="168" t="s">
        <v>764</v>
      </c>
      <c r="G98" s="168" t="s">
        <v>764</v>
      </c>
      <c r="H98" s="168" t="s">
        <v>765</v>
      </c>
      <c r="I98" s="168" t="s">
        <v>765</v>
      </c>
    </row>
    <row r="99" spans="1:9">
      <c r="A99" s="167" t="s">
        <v>88</v>
      </c>
      <c r="B99" s="168" t="s">
        <v>98</v>
      </c>
      <c r="C99" s="168" t="s">
        <v>95</v>
      </c>
      <c r="D99" s="168" t="s">
        <v>816</v>
      </c>
      <c r="E99" s="168" t="s">
        <v>97</v>
      </c>
      <c r="F99" s="168" t="s">
        <v>92</v>
      </c>
      <c r="G99" s="168" t="s">
        <v>96</v>
      </c>
      <c r="H99" s="168" t="s">
        <v>95</v>
      </c>
      <c r="I99" s="168" t="s">
        <v>96</v>
      </c>
    </row>
    <row r="100" spans="1:9">
      <c r="A100" s="167" t="s">
        <v>815</v>
      </c>
      <c r="B100" s="185">
        <f>VLOOKUP(B98, $A$94:$F$96, 6, FALSE)</f>
        <v>300</v>
      </c>
      <c r="C100" s="185">
        <f>VLOOKUP(C98, $A$94:$F$96, 2, FALSE)</f>
        <v>2000</v>
      </c>
      <c r="D100" s="185">
        <f>VLOOKUP(D98, $A$94:$F$96, 2, FALSE)</f>
        <v>3000</v>
      </c>
      <c r="E100" s="185">
        <f>VLOOKUP(E98, $A$94:$F$96, 4, FALSE)</f>
        <v>1100</v>
      </c>
      <c r="F100" s="185">
        <f>VLOOKUP(F98, $A$94:$F$96, 5, FALSE)</f>
        <v>250</v>
      </c>
      <c r="G100" s="185">
        <f>VLOOKUP(G98, $A$94:$F$96, 3, FALSE)</f>
        <v>5000</v>
      </c>
      <c r="H100" s="185">
        <f>VLOOKUP(H98, $A$94:$F$96, 2, FALSE)</f>
        <v>2000</v>
      </c>
      <c r="I100" s="185">
        <f>VLOOKUP(I98, $A$94:$F$96, 3, FALSE)</f>
        <v>4999</v>
      </c>
    </row>
  </sheetData>
  <mergeCells count="35">
    <mergeCell ref="A1:C1"/>
    <mergeCell ref="A4:I4"/>
    <mergeCell ref="I53:K53"/>
    <mergeCell ref="D31:F31"/>
    <mergeCell ref="H31:P39"/>
    <mergeCell ref="A43:J44"/>
    <mergeCell ref="A45:B45"/>
    <mergeCell ref="D45:E45"/>
    <mergeCell ref="D32:F32"/>
    <mergeCell ref="D33:F33"/>
    <mergeCell ref="D34:F34"/>
    <mergeCell ref="D35:F35"/>
    <mergeCell ref="D36:F36"/>
    <mergeCell ref="D37:F37"/>
    <mergeCell ref="D38:F38"/>
    <mergeCell ref="D39:F39"/>
    <mergeCell ref="A13:J14"/>
    <mergeCell ref="A72:B72"/>
    <mergeCell ref="D72:E72"/>
    <mergeCell ref="G72:H72"/>
    <mergeCell ref="F54:H54"/>
    <mergeCell ref="F55:H55"/>
    <mergeCell ref="F56:H56"/>
    <mergeCell ref="A81:D81"/>
    <mergeCell ref="A52:K52"/>
    <mergeCell ref="F58:H58"/>
    <mergeCell ref="I58:K58"/>
    <mergeCell ref="B63:D66"/>
    <mergeCell ref="A70:J71"/>
    <mergeCell ref="F57:H57"/>
    <mergeCell ref="F53:H53"/>
    <mergeCell ref="I54:K54"/>
    <mergeCell ref="I55:K55"/>
    <mergeCell ref="I56:K56"/>
    <mergeCell ref="I57:K57"/>
  </mergeCells>
  <pageMargins left="0.7" right="0.7" top="0.75" bottom="0.75" header="0.3" footer="0.3"/>
  <pageSetup orientation="portrait" horizontalDpi="4294967293" verticalDpi="4294967293" r:id="rId1"/>
  <ignoredErrors>
    <ignoredError sqref="C58:D58"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39"/>
  <sheetViews>
    <sheetView showGridLines="0" topLeftCell="A4" zoomScale="90" zoomScaleNormal="90" workbookViewId="0">
      <selection activeCell="G36" sqref="G36"/>
    </sheetView>
  </sheetViews>
  <sheetFormatPr defaultRowHeight="15"/>
  <cols>
    <col min="1" max="1" width="11.7109375" customWidth="1"/>
    <col min="2" max="2" width="11.5703125" customWidth="1"/>
    <col min="3" max="3" width="10.140625" customWidth="1"/>
    <col min="4" max="4" width="10" customWidth="1"/>
    <col min="5" max="5" width="11.5703125" bestFit="1" customWidth="1"/>
    <col min="6" max="6" width="12.42578125" bestFit="1" customWidth="1"/>
    <col min="7" max="7" width="11.5703125" customWidth="1"/>
    <col min="9" max="9" width="11.42578125" customWidth="1"/>
    <col min="10" max="10" width="12.140625" customWidth="1"/>
    <col min="11" max="11" width="11.28515625" customWidth="1"/>
    <col min="12" max="12" width="10.140625" customWidth="1"/>
  </cols>
  <sheetData>
    <row r="1" spans="1:12" ht="32.25" thickBot="1">
      <c r="A1" s="240" t="s">
        <v>262</v>
      </c>
      <c r="B1" s="240"/>
      <c r="C1" s="76"/>
      <c r="D1" s="76"/>
      <c r="E1" s="76"/>
      <c r="F1" s="76"/>
      <c r="G1" s="76"/>
      <c r="H1" s="76"/>
      <c r="I1" s="76"/>
      <c r="J1" s="76"/>
      <c r="K1" s="76"/>
      <c r="L1" s="76"/>
    </row>
    <row r="2" spans="1:12" ht="15.75" thickTop="1"/>
    <row r="3" spans="1:12" ht="18.75">
      <c r="A3" s="74" t="s">
        <v>203</v>
      </c>
    </row>
    <row r="4" spans="1:12">
      <c r="A4" s="227" t="s">
        <v>265</v>
      </c>
      <c r="B4" s="227"/>
      <c r="C4" s="227"/>
      <c r="D4" s="227"/>
      <c r="E4" s="227"/>
      <c r="F4" s="227"/>
      <c r="G4" s="227"/>
      <c r="H4" s="227"/>
      <c r="I4" s="227"/>
      <c r="J4" s="227"/>
    </row>
    <row r="5" spans="1:12">
      <c r="A5" s="227"/>
      <c r="B5" s="227"/>
      <c r="C5" s="227"/>
      <c r="D5" s="227"/>
      <c r="E5" s="227"/>
      <c r="F5" s="227"/>
      <c r="G5" s="227"/>
      <c r="H5" s="227"/>
      <c r="I5" s="227"/>
      <c r="J5" s="227"/>
    </row>
    <row r="6" spans="1:12" ht="18.75">
      <c r="A6" s="74" t="s">
        <v>24</v>
      </c>
    </row>
    <row r="7" spans="1:12" ht="15.75">
      <c r="A7" s="80" t="s">
        <v>263</v>
      </c>
    </row>
    <row r="9" spans="1:12" ht="15.75">
      <c r="A9" s="73" t="s">
        <v>230</v>
      </c>
    </row>
    <row r="10" spans="1:12">
      <c r="A10" s="227" t="s">
        <v>274</v>
      </c>
      <c r="B10" s="227"/>
      <c r="C10" s="227"/>
      <c r="D10" s="227"/>
      <c r="E10" s="227"/>
      <c r="F10" s="227"/>
      <c r="G10" s="227"/>
      <c r="H10" s="227"/>
      <c r="I10" s="227"/>
      <c r="J10" s="227"/>
      <c r="K10" s="227"/>
    </row>
    <row r="11" spans="1:12">
      <c r="A11" s="227"/>
      <c r="B11" s="227"/>
      <c r="C11" s="227"/>
      <c r="D11" s="227"/>
      <c r="E11" s="227"/>
      <c r="F11" s="227"/>
      <c r="G11" s="227"/>
      <c r="H11" s="227"/>
      <c r="I11" s="227"/>
      <c r="J11" s="227"/>
      <c r="K11" s="227"/>
    </row>
    <row r="12" spans="1:12">
      <c r="A12" s="88"/>
      <c r="B12" s="88"/>
      <c r="C12" s="88"/>
      <c r="D12" s="88"/>
      <c r="E12" s="88"/>
      <c r="F12" s="88"/>
      <c r="G12" s="88"/>
      <c r="H12" s="88"/>
      <c r="I12" s="88"/>
      <c r="J12" s="88"/>
      <c r="K12" s="88"/>
    </row>
    <row r="13" spans="1:12" ht="15.75">
      <c r="A13" s="73" t="s">
        <v>231</v>
      </c>
    </row>
    <row r="14" spans="1:12">
      <c r="A14" t="s">
        <v>205</v>
      </c>
    </row>
    <row r="16" spans="1:12" ht="15.75">
      <c r="A16" s="73" t="s">
        <v>232</v>
      </c>
    </row>
    <row r="17" spans="1:10">
      <c r="A17" t="s">
        <v>206</v>
      </c>
    </row>
    <row r="19" spans="1:10" ht="15.75">
      <c r="A19" s="73" t="s">
        <v>264</v>
      </c>
    </row>
    <row r="20" spans="1:10">
      <c r="A20" t="s">
        <v>266</v>
      </c>
    </row>
    <row r="22" spans="1:10" ht="15.75">
      <c r="A22" s="73" t="s">
        <v>48</v>
      </c>
    </row>
    <row r="23" spans="1:10">
      <c r="A23" t="s">
        <v>267</v>
      </c>
    </row>
    <row r="24" spans="1:10">
      <c r="A24" s="241" t="s">
        <v>277</v>
      </c>
      <c r="B24" s="241"/>
      <c r="D24" s="241" t="s">
        <v>278</v>
      </c>
      <c r="E24" s="241"/>
      <c r="F24" s="241"/>
      <c r="G24" s="241"/>
      <c r="H24" s="241"/>
      <c r="I24" s="241"/>
    </row>
    <row r="25" spans="1:10">
      <c r="A25" s="85" t="s">
        <v>233</v>
      </c>
      <c r="B25" s="85" t="s">
        <v>147</v>
      </c>
      <c r="D25" s="85" t="s">
        <v>207</v>
      </c>
      <c r="E25" s="85" t="s">
        <v>212</v>
      </c>
      <c r="F25" s="82" t="s">
        <v>147</v>
      </c>
      <c r="G25" s="229" t="s">
        <v>217</v>
      </c>
      <c r="H25" s="229"/>
      <c r="I25" s="229"/>
    </row>
    <row r="26" spans="1:10">
      <c r="A26" s="77" t="s">
        <v>269</v>
      </c>
      <c r="B26" s="77" t="s">
        <v>2</v>
      </c>
      <c r="D26" s="77" t="s">
        <v>208</v>
      </c>
      <c r="E26" s="77">
        <v>90</v>
      </c>
      <c r="F26" s="77" t="str">
        <f>IF(E26&lt; 41,"C",IF(E26&lt; 71,"B","A"))</f>
        <v>A</v>
      </c>
      <c r="G26" s="233" t="s">
        <v>270</v>
      </c>
      <c r="H26" s="233"/>
      <c r="I26" s="233"/>
    </row>
    <row r="27" spans="1:10">
      <c r="A27" s="77" t="s">
        <v>234</v>
      </c>
      <c r="B27" s="77" t="s">
        <v>3</v>
      </c>
      <c r="D27" s="77" t="s">
        <v>209</v>
      </c>
      <c r="E27" s="77">
        <v>70</v>
      </c>
      <c r="F27" s="77" t="str">
        <f t="shared" ref="F27:F29" si="0">IF(E27&lt; 41,"C",IF(E27&lt; 71,"B","A"))</f>
        <v>B</v>
      </c>
      <c r="G27" s="233" t="s">
        <v>271</v>
      </c>
      <c r="H27" s="233"/>
      <c r="I27" s="233"/>
    </row>
    <row r="28" spans="1:10">
      <c r="A28" s="77" t="s">
        <v>268</v>
      </c>
      <c r="B28" s="77" t="s">
        <v>4</v>
      </c>
      <c r="D28" s="77" t="s">
        <v>210</v>
      </c>
      <c r="E28" s="77">
        <v>20</v>
      </c>
      <c r="F28" s="77" t="str">
        <f t="shared" si="0"/>
        <v>C</v>
      </c>
      <c r="G28" s="233" t="s">
        <v>272</v>
      </c>
      <c r="H28" s="233"/>
      <c r="I28" s="233"/>
    </row>
    <row r="29" spans="1:10">
      <c r="D29" s="77" t="s">
        <v>211</v>
      </c>
      <c r="E29" s="77">
        <v>41</v>
      </c>
      <c r="F29" s="77" t="str">
        <f t="shared" si="0"/>
        <v>B</v>
      </c>
      <c r="G29" s="233" t="s">
        <v>273</v>
      </c>
      <c r="H29" s="233"/>
      <c r="I29" s="233"/>
    </row>
    <row r="31" spans="1:10" ht="15.75">
      <c r="A31" s="73" t="s">
        <v>235</v>
      </c>
    </row>
    <row r="32" spans="1:10">
      <c r="A32" s="227" t="s">
        <v>276</v>
      </c>
      <c r="B32" s="227"/>
      <c r="C32" s="227"/>
      <c r="D32" s="227"/>
      <c r="E32" s="227"/>
      <c r="F32" s="227"/>
      <c r="G32" s="227"/>
      <c r="H32" s="227"/>
      <c r="I32" s="227"/>
      <c r="J32" s="227"/>
    </row>
    <row r="33" spans="1:10">
      <c r="A33" s="227"/>
      <c r="B33" s="227"/>
      <c r="C33" s="227"/>
      <c r="D33" s="227"/>
      <c r="E33" s="227"/>
      <c r="F33" s="227"/>
      <c r="G33" s="227"/>
      <c r="H33" s="227"/>
      <c r="I33" s="227"/>
      <c r="J33" s="227"/>
    </row>
    <row r="34" spans="1:10">
      <c r="A34" s="241" t="s">
        <v>277</v>
      </c>
      <c r="B34" s="241"/>
      <c r="D34" s="242" t="s">
        <v>278</v>
      </c>
      <c r="E34" s="243"/>
      <c r="F34" s="243"/>
      <c r="G34" s="244"/>
    </row>
    <row r="35" spans="1:10">
      <c r="A35" s="85" t="s">
        <v>279</v>
      </c>
      <c r="B35" s="85" t="s">
        <v>236</v>
      </c>
      <c r="D35" s="78" t="s">
        <v>219</v>
      </c>
      <c r="E35" s="78" t="s">
        <v>224</v>
      </c>
      <c r="F35" s="78" t="s">
        <v>279</v>
      </c>
      <c r="G35" s="96" t="s">
        <v>49</v>
      </c>
    </row>
    <row r="36" spans="1:10">
      <c r="A36" s="77" t="s">
        <v>2</v>
      </c>
      <c r="B36" s="87">
        <v>1000</v>
      </c>
      <c r="D36" s="77" t="s">
        <v>220</v>
      </c>
      <c r="E36" s="77" t="s">
        <v>225</v>
      </c>
      <c r="F36" s="81" t="s">
        <v>2</v>
      </c>
      <c r="G36" s="218">
        <f>IF(F36="A",1000,IF(F36="B",500,IF(F36="C",250,0)))</f>
        <v>1000</v>
      </c>
    </row>
    <row r="37" spans="1:10">
      <c r="A37" s="77" t="s">
        <v>3</v>
      </c>
      <c r="B37" s="87">
        <v>500</v>
      </c>
      <c r="D37" s="77" t="s">
        <v>221</v>
      </c>
      <c r="E37" s="77" t="s">
        <v>226</v>
      </c>
      <c r="F37" s="81" t="s">
        <v>2</v>
      </c>
      <c r="G37" s="218">
        <f t="shared" ref="G37:G39" si="1">IF(F37="A",1000,IF(F37="B",500,IF(F37="C",250,0)))</f>
        <v>1000</v>
      </c>
    </row>
    <row r="38" spans="1:10">
      <c r="A38" s="77" t="s">
        <v>4</v>
      </c>
      <c r="B38" s="87">
        <v>250</v>
      </c>
      <c r="D38" s="77" t="s">
        <v>222</v>
      </c>
      <c r="E38" s="77" t="s">
        <v>226</v>
      </c>
      <c r="F38" s="81" t="s">
        <v>3</v>
      </c>
      <c r="G38" s="218">
        <f t="shared" si="1"/>
        <v>500</v>
      </c>
    </row>
    <row r="39" spans="1:10">
      <c r="D39" s="77" t="s">
        <v>223</v>
      </c>
      <c r="E39" s="77" t="s">
        <v>226</v>
      </c>
      <c r="F39" s="81" t="s">
        <v>4</v>
      </c>
      <c r="G39" s="218">
        <f t="shared" si="1"/>
        <v>250</v>
      </c>
    </row>
  </sheetData>
  <mergeCells count="13">
    <mergeCell ref="A1:B1"/>
    <mergeCell ref="A4:J5"/>
    <mergeCell ref="A24:B24"/>
    <mergeCell ref="D24:I24"/>
    <mergeCell ref="A34:B34"/>
    <mergeCell ref="D34:G34"/>
    <mergeCell ref="A32:J33"/>
    <mergeCell ref="A10:K11"/>
    <mergeCell ref="G25:I25"/>
    <mergeCell ref="G26:I26"/>
    <mergeCell ref="G27:I27"/>
    <mergeCell ref="G28:I28"/>
    <mergeCell ref="G29:I29"/>
  </mergeCells>
  <pageMargins left="0.7" right="0.7" top="0.75" bottom="0.75" header="0.3" footer="0.3"/>
  <pageSetup orientation="portrait" horizontalDpi="4294967293" verticalDpi="4294967293"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P53"/>
  <sheetViews>
    <sheetView showGridLines="0" topLeftCell="A23" zoomScale="90" zoomScaleNormal="90" workbookViewId="0">
      <selection activeCell="F56" sqref="F56"/>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bestFit="1" customWidth="1"/>
    <col min="8" max="8" width="10.140625" customWidth="1"/>
    <col min="9" max="9" width="12.140625" customWidth="1"/>
    <col min="10" max="10" width="11.28515625" customWidth="1"/>
    <col min="11" max="11" width="11.140625" customWidth="1"/>
  </cols>
  <sheetData>
    <row r="1" spans="1:11" ht="32.25" thickBot="1">
      <c r="A1" s="259" t="s">
        <v>181</v>
      </c>
      <c r="B1" s="259"/>
      <c r="C1" s="259"/>
      <c r="D1" s="76"/>
      <c r="E1" s="76"/>
      <c r="F1" s="76"/>
      <c r="G1" s="76"/>
      <c r="H1" s="76"/>
      <c r="I1" s="76"/>
      <c r="J1" s="76"/>
      <c r="K1" s="76"/>
    </row>
    <row r="2" spans="1:11" ht="15.75" thickTop="1"/>
    <row r="3" spans="1:11" ht="18.75">
      <c r="A3" s="74" t="s">
        <v>203</v>
      </c>
    </row>
    <row r="4" spans="1:11" ht="15" customHeight="1">
      <c r="A4" s="260" t="s">
        <v>817</v>
      </c>
      <c r="B4" s="260"/>
      <c r="C4" s="260"/>
      <c r="D4" s="260"/>
      <c r="E4" s="260"/>
      <c r="F4" s="260"/>
      <c r="G4" s="260"/>
      <c r="H4" s="260"/>
      <c r="I4" s="260"/>
    </row>
    <row r="5" spans="1:11">
      <c r="A5" s="260"/>
      <c r="B5" s="260"/>
      <c r="C5" s="260"/>
      <c r="D5" s="260"/>
      <c r="E5" s="260"/>
      <c r="F5" s="260"/>
      <c r="G5" s="260"/>
      <c r="H5" s="260"/>
      <c r="I5" s="260"/>
    </row>
    <row r="6" spans="1:11">
      <c r="A6" s="169"/>
      <c r="B6" s="169"/>
      <c r="C6" s="169"/>
      <c r="D6" s="169"/>
      <c r="E6" s="169"/>
      <c r="F6" s="169"/>
      <c r="G6" s="169"/>
      <c r="H6" s="169"/>
      <c r="I6" s="169"/>
    </row>
    <row r="7" spans="1:11" ht="18.75">
      <c r="A7" s="74" t="s">
        <v>24</v>
      </c>
    </row>
    <row r="8" spans="1:11" ht="15.75">
      <c r="A8" s="80" t="s">
        <v>819</v>
      </c>
    </row>
    <row r="10" spans="1:11" ht="15.75">
      <c r="A10" s="73" t="s">
        <v>756</v>
      </c>
    </row>
    <row r="11" spans="1:11">
      <c r="A11" t="s">
        <v>762</v>
      </c>
    </row>
    <row r="12" spans="1:11">
      <c r="A12" s="149"/>
    </row>
    <row r="13" spans="1:11" ht="15.75">
      <c r="A13" s="73" t="s">
        <v>758</v>
      </c>
    </row>
    <row r="14" spans="1:11">
      <c r="A14" s="227" t="s">
        <v>802</v>
      </c>
      <c r="B14" s="227"/>
      <c r="C14" s="227"/>
      <c r="D14" s="227"/>
      <c r="E14" s="227"/>
      <c r="F14" s="227"/>
      <c r="G14" s="227"/>
      <c r="H14" s="227"/>
      <c r="I14" s="227"/>
      <c r="J14" s="227"/>
    </row>
    <row r="15" spans="1:11">
      <c r="A15" s="227"/>
      <c r="B15" s="227"/>
      <c r="C15" s="227"/>
      <c r="D15" s="227"/>
      <c r="E15" s="227"/>
      <c r="F15" s="227"/>
      <c r="G15" s="227"/>
      <c r="H15" s="227"/>
      <c r="I15" s="227"/>
      <c r="J15" s="227"/>
    </row>
    <row r="16" spans="1:11">
      <c r="A16" s="165"/>
      <c r="B16" s="165"/>
      <c r="C16" s="165"/>
      <c r="D16" s="165"/>
      <c r="E16" s="165"/>
      <c r="F16" s="165"/>
      <c r="G16" s="165"/>
      <c r="H16" s="165"/>
      <c r="I16" s="165"/>
      <c r="J16" s="165"/>
    </row>
    <row r="17" spans="1:16" ht="15.75">
      <c r="A17" s="73" t="s">
        <v>818</v>
      </c>
    </row>
    <row r="18" spans="1:16">
      <c r="A18" t="s">
        <v>820</v>
      </c>
    </row>
    <row r="19" spans="1:16">
      <c r="A19" s="149"/>
    </row>
    <row r="20" spans="1:16" ht="15.75">
      <c r="A20" s="73" t="s">
        <v>760</v>
      </c>
    </row>
    <row r="21" spans="1:16">
      <c r="A21" t="s">
        <v>821</v>
      </c>
    </row>
    <row r="22" spans="1:16">
      <c r="A22" s="149"/>
    </row>
    <row r="23" spans="1:16" ht="15.75">
      <c r="A23" s="73" t="s">
        <v>48</v>
      </c>
    </row>
    <row r="24" spans="1:16">
      <c r="A24" s="191" t="s">
        <v>836</v>
      </c>
    </row>
    <row r="25" spans="1:16">
      <c r="A25" s="167" t="s">
        <v>822</v>
      </c>
      <c r="B25" s="167" t="s">
        <v>764</v>
      </c>
      <c r="C25" s="167" t="s">
        <v>765</v>
      </c>
      <c r="D25" s="167" t="s">
        <v>766</v>
      </c>
      <c r="E25" s="166" t="s">
        <v>94</v>
      </c>
      <c r="F25" s="166" t="s">
        <v>823</v>
      </c>
    </row>
    <row r="26" spans="1:16">
      <c r="A26" s="168" t="s">
        <v>154</v>
      </c>
      <c r="B26" s="185">
        <v>500</v>
      </c>
      <c r="C26" s="185">
        <v>450</v>
      </c>
      <c r="D26" s="185">
        <v>550</v>
      </c>
      <c r="E26" s="185">
        <v>200</v>
      </c>
      <c r="F26" s="185">
        <v>1000</v>
      </c>
    </row>
    <row r="27" spans="1:16">
      <c r="A27" s="1"/>
      <c r="B27" s="1"/>
      <c r="C27" s="1"/>
      <c r="D27" s="1"/>
    </row>
    <row r="28" spans="1:16" ht="15" customHeight="1">
      <c r="A28" s="167" t="s">
        <v>824</v>
      </c>
      <c r="B28" s="167" t="s">
        <v>87</v>
      </c>
      <c r="C28" s="167" t="s">
        <v>154</v>
      </c>
      <c r="D28" s="245" t="s">
        <v>217</v>
      </c>
      <c r="E28" s="245"/>
      <c r="F28" s="245"/>
      <c r="H28" s="276" t="s">
        <v>837</v>
      </c>
      <c r="I28" s="276"/>
      <c r="J28" s="276"/>
      <c r="K28" s="276"/>
      <c r="L28" s="276"/>
      <c r="M28" s="276"/>
      <c r="N28" s="276"/>
      <c r="O28" s="276"/>
      <c r="P28" s="276"/>
    </row>
    <row r="29" spans="1:16">
      <c r="A29" s="168" t="s">
        <v>804</v>
      </c>
      <c r="B29" s="168" t="s">
        <v>764</v>
      </c>
      <c r="C29" s="69">
        <f>HLOOKUP(B29,$B$25:$F$26,2,FALSE)</f>
        <v>500</v>
      </c>
      <c r="D29" s="274" t="s">
        <v>828</v>
      </c>
      <c r="E29" s="274"/>
      <c r="F29" s="274"/>
      <c r="H29" s="276"/>
      <c r="I29" s="276"/>
      <c r="J29" s="276"/>
      <c r="K29" s="276"/>
      <c r="L29" s="276"/>
      <c r="M29" s="276"/>
      <c r="N29" s="276"/>
      <c r="O29" s="276"/>
      <c r="P29" s="276"/>
    </row>
    <row r="30" spans="1:16">
      <c r="A30" s="168" t="s">
        <v>804</v>
      </c>
      <c r="B30" s="168" t="s">
        <v>765</v>
      </c>
      <c r="C30" s="69">
        <f t="shared" ref="C30:C36" si="0">HLOOKUP(B30,$B$25:$F$26,2,FALSE)</f>
        <v>450</v>
      </c>
      <c r="D30" s="274" t="s">
        <v>829</v>
      </c>
      <c r="E30" s="274"/>
      <c r="F30" s="274"/>
      <c r="H30" s="276"/>
      <c r="I30" s="276"/>
      <c r="J30" s="276"/>
      <c r="K30" s="276"/>
      <c r="L30" s="276"/>
      <c r="M30" s="276"/>
      <c r="N30" s="276"/>
      <c r="O30" s="276"/>
      <c r="P30" s="276"/>
    </row>
    <row r="31" spans="1:16">
      <c r="A31" s="168" t="s">
        <v>825</v>
      </c>
      <c r="B31" s="168" t="s">
        <v>766</v>
      </c>
      <c r="C31" s="69">
        <f t="shared" si="0"/>
        <v>550</v>
      </c>
      <c r="D31" s="274" t="s">
        <v>830</v>
      </c>
      <c r="E31" s="274"/>
      <c r="F31" s="274"/>
      <c r="H31" s="276"/>
      <c r="I31" s="276"/>
      <c r="J31" s="276"/>
      <c r="K31" s="276"/>
      <c r="L31" s="276"/>
      <c r="M31" s="276"/>
      <c r="N31" s="276"/>
      <c r="O31" s="276"/>
      <c r="P31" s="276"/>
    </row>
    <row r="32" spans="1:16">
      <c r="A32" s="168" t="s">
        <v>826</v>
      </c>
      <c r="B32" s="168" t="s">
        <v>766</v>
      </c>
      <c r="C32" s="69">
        <f t="shared" si="0"/>
        <v>550</v>
      </c>
      <c r="D32" s="274" t="s">
        <v>831</v>
      </c>
      <c r="E32" s="274"/>
      <c r="F32" s="274"/>
      <c r="H32" s="276"/>
      <c r="I32" s="276"/>
      <c r="J32" s="276"/>
      <c r="K32" s="276"/>
      <c r="L32" s="276"/>
      <c r="M32" s="276"/>
      <c r="N32" s="276"/>
      <c r="O32" s="276"/>
      <c r="P32" s="276"/>
    </row>
    <row r="33" spans="1:16">
      <c r="A33" s="168" t="s">
        <v>808</v>
      </c>
      <c r="B33" s="168" t="s">
        <v>823</v>
      </c>
      <c r="C33" s="69">
        <f t="shared" si="0"/>
        <v>1000</v>
      </c>
      <c r="D33" s="274" t="s">
        <v>832</v>
      </c>
      <c r="E33" s="274"/>
      <c r="F33" s="274"/>
      <c r="H33" s="276"/>
      <c r="I33" s="276"/>
      <c r="J33" s="276"/>
      <c r="K33" s="276"/>
      <c r="L33" s="276"/>
      <c r="M33" s="276"/>
      <c r="N33" s="276"/>
      <c r="O33" s="276"/>
      <c r="P33" s="276"/>
    </row>
    <row r="34" spans="1:16">
      <c r="A34" s="168" t="s">
        <v>808</v>
      </c>
      <c r="B34" s="168" t="s">
        <v>823</v>
      </c>
      <c r="C34" s="69">
        <f t="shared" si="0"/>
        <v>1000</v>
      </c>
      <c r="D34" s="274" t="s">
        <v>833</v>
      </c>
      <c r="E34" s="274"/>
      <c r="F34" s="274"/>
      <c r="H34" s="276"/>
      <c r="I34" s="276"/>
      <c r="J34" s="276"/>
      <c r="K34" s="276"/>
      <c r="L34" s="276"/>
      <c r="M34" s="276"/>
      <c r="N34" s="276"/>
      <c r="O34" s="276"/>
      <c r="P34" s="276"/>
    </row>
    <row r="35" spans="1:16">
      <c r="A35" s="168" t="s">
        <v>805</v>
      </c>
      <c r="B35" s="168" t="s">
        <v>765</v>
      </c>
      <c r="C35" s="69">
        <f t="shared" si="0"/>
        <v>450</v>
      </c>
      <c r="D35" s="274" t="s">
        <v>834</v>
      </c>
      <c r="E35" s="274"/>
      <c r="F35" s="274"/>
      <c r="H35" s="276"/>
      <c r="I35" s="276"/>
      <c r="J35" s="276"/>
      <c r="K35" s="276"/>
      <c r="L35" s="276"/>
      <c r="M35" s="276"/>
      <c r="N35" s="276"/>
      <c r="O35" s="276"/>
      <c r="P35" s="276"/>
    </row>
    <row r="36" spans="1:16">
      <c r="A36" s="168" t="s">
        <v>827</v>
      </c>
      <c r="B36" s="168" t="s">
        <v>764</v>
      </c>
      <c r="C36" s="69">
        <f t="shared" si="0"/>
        <v>500</v>
      </c>
      <c r="D36" s="274" t="s">
        <v>835</v>
      </c>
      <c r="E36" s="274"/>
      <c r="F36" s="274"/>
      <c r="H36" s="276"/>
      <c r="I36" s="276"/>
      <c r="J36" s="276"/>
      <c r="K36" s="276"/>
      <c r="L36" s="276"/>
      <c r="M36" s="276"/>
      <c r="N36" s="276"/>
      <c r="O36" s="276"/>
      <c r="P36" s="276"/>
    </row>
    <row r="39" spans="1:16" ht="15.75">
      <c r="A39" s="73" t="s">
        <v>235</v>
      </c>
    </row>
    <row r="40" spans="1:16">
      <c r="A40" s="227" t="s">
        <v>838</v>
      </c>
      <c r="B40" s="227"/>
      <c r="C40" s="227"/>
      <c r="D40" s="227"/>
      <c r="E40" s="227"/>
      <c r="F40" s="227"/>
      <c r="G40" s="227"/>
      <c r="H40" s="227"/>
      <c r="I40" s="227"/>
      <c r="J40" s="227"/>
    </row>
    <row r="41" spans="1:16">
      <c r="A41" s="227"/>
      <c r="B41" s="227"/>
      <c r="C41" s="227"/>
      <c r="D41" s="227"/>
      <c r="E41" s="227"/>
      <c r="F41" s="227"/>
      <c r="G41" s="227"/>
      <c r="H41" s="227"/>
      <c r="I41" s="227"/>
      <c r="J41" s="227"/>
    </row>
    <row r="42" spans="1:16" ht="15" customHeight="1">
      <c r="A42" s="167" t="s">
        <v>90</v>
      </c>
      <c r="B42" s="170" t="s">
        <v>764</v>
      </c>
      <c r="C42" s="170" t="s">
        <v>765</v>
      </c>
      <c r="D42" s="170" t="s">
        <v>766</v>
      </c>
    </row>
    <row r="43" spans="1:16">
      <c r="A43" s="167" t="s">
        <v>95</v>
      </c>
      <c r="B43" s="185">
        <v>2500</v>
      </c>
      <c r="C43" s="185">
        <v>2000</v>
      </c>
      <c r="D43" s="185">
        <v>3000</v>
      </c>
    </row>
    <row r="44" spans="1:16">
      <c r="A44" s="167" t="s">
        <v>96</v>
      </c>
      <c r="B44" s="185">
        <v>5000</v>
      </c>
      <c r="C44" s="185">
        <v>4999</v>
      </c>
      <c r="D44" s="185">
        <v>5200</v>
      </c>
    </row>
    <row r="45" spans="1:16">
      <c r="A45" s="167" t="s">
        <v>97</v>
      </c>
      <c r="B45" s="185">
        <v>1250</v>
      </c>
      <c r="C45" s="185">
        <v>1302</v>
      </c>
      <c r="D45" s="185">
        <v>1100</v>
      </c>
    </row>
    <row r="46" spans="1:16">
      <c r="A46" s="167" t="s">
        <v>92</v>
      </c>
      <c r="B46" s="185">
        <v>250</v>
      </c>
      <c r="C46" s="185">
        <v>300</v>
      </c>
      <c r="D46" s="185">
        <v>200</v>
      </c>
    </row>
    <row r="47" spans="1:16">
      <c r="A47" s="167" t="s">
        <v>98</v>
      </c>
      <c r="B47" s="185">
        <v>300</v>
      </c>
      <c r="C47" s="185">
        <v>290</v>
      </c>
      <c r="D47" s="185">
        <v>310</v>
      </c>
    </row>
    <row r="50" spans="1:9">
      <c r="A50" s="167" t="s">
        <v>87</v>
      </c>
      <c r="B50" s="168" t="s">
        <v>764</v>
      </c>
      <c r="C50" s="168" t="s">
        <v>765</v>
      </c>
      <c r="D50" s="168" t="s">
        <v>766</v>
      </c>
      <c r="E50" s="168" t="s">
        <v>766</v>
      </c>
      <c r="F50" s="168" t="s">
        <v>764</v>
      </c>
      <c r="G50" s="168" t="s">
        <v>764</v>
      </c>
      <c r="H50" s="168" t="s">
        <v>765</v>
      </c>
      <c r="I50" s="168" t="s">
        <v>765</v>
      </c>
    </row>
    <row r="51" spans="1:9">
      <c r="A51" s="167" t="s">
        <v>88</v>
      </c>
      <c r="B51" s="168" t="s">
        <v>98</v>
      </c>
      <c r="C51" s="168" t="s">
        <v>95</v>
      </c>
      <c r="D51" s="168" t="s">
        <v>816</v>
      </c>
      <c r="E51" s="168" t="s">
        <v>97</v>
      </c>
      <c r="F51" s="168" t="s">
        <v>92</v>
      </c>
      <c r="G51" s="168" t="s">
        <v>96</v>
      </c>
      <c r="H51" s="168" t="s">
        <v>95</v>
      </c>
      <c r="I51" s="168" t="s">
        <v>96</v>
      </c>
    </row>
    <row r="52" spans="1:9">
      <c r="A52" s="167" t="s">
        <v>815</v>
      </c>
      <c r="B52" s="69">
        <f>HLOOKUP(B50,$B$42:$B$47,6,FALSE)</f>
        <v>300</v>
      </c>
      <c r="C52" s="185">
        <f>HLOOKUP(C50,$C$42:$C$47,2,FALSE)</f>
        <v>2000</v>
      </c>
      <c r="D52" s="185">
        <f>HLOOKUP(D50,$D$42:$D$47,2,FALSE)</f>
        <v>3000</v>
      </c>
      <c r="E52" s="185">
        <f>HLOOKUP(E50,$D$42:$D$47,4,FALSE)</f>
        <v>1100</v>
      </c>
      <c r="F52" s="185">
        <f>HLOOKUP(F50,$B$42:$B$47,5,FALSE)</f>
        <v>250</v>
      </c>
      <c r="G52" s="185">
        <f>HLOOKUP(G50,$B$42:$B$47,3,FALSE)</f>
        <v>5000</v>
      </c>
      <c r="H52" s="185">
        <f>HLOOKUP(H50,$C$42:$C$47,2,FALSE)</f>
        <v>2000</v>
      </c>
      <c r="I52" s="185">
        <f>HLOOKUP(I50,$C$42:$C$47,3,FALSE)</f>
        <v>4999</v>
      </c>
    </row>
    <row r="53" spans="1:9">
      <c r="B53" s="192" t="s">
        <v>839</v>
      </c>
    </row>
  </sheetData>
  <mergeCells count="14">
    <mergeCell ref="A40:J41"/>
    <mergeCell ref="D34:F34"/>
    <mergeCell ref="D35:F35"/>
    <mergeCell ref="D36:F36"/>
    <mergeCell ref="A1:C1"/>
    <mergeCell ref="A14:J15"/>
    <mergeCell ref="D28:F28"/>
    <mergeCell ref="H28:P36"/>
    <mergeCell ref="D29:F29"/>
    <mergeCell ref="D30:F30"/>
    <mergeCell ref="D31:F31"/>
    <mergeCell ref="D32:F32"/>
    <mergeCell ref="D33:F33"/>
    <mergeCell ref="A4:I5"/>
  </mergeCells>
  <pageMargins left="0.7" right="0.7" top="0.75" bottom="0.75" header="0.3" footer="0.3"/>
  <pageSetup orientation="portrait" horizontalDpi="4294967293" verticalDpi="4294967293"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K42"/>
  <sheetViews>
    <sheetView showGridLines="0" topLeftCell="A15" zoomScale="115" zoomScaleNormal="115" workbookViewId="0">
      <selection activeCell="F41" sqref="F41"/>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180</v>
      </c>
      <c r="B1" s="259"/>
      <c r="C1" s="112"/>
      <c r="D1" s="76"/>
      <c r="E1" s="76"/>
      <c r="F1" s="76"/>
      <c r="G1" s="76"/>
      <c r="H1" s="76"/>
      <c r="I1" s="76"/>
      <c r="J1" s="76"/>
      <c r="K1" s="76"/>
    </row>
    <row r="2" spans="1:11" ht="15.75" thickTop="1"/>
    <row r="3" spans="1:11" ht="18.75">
      <c r="A3" s="74" t="s">
        <v>203</v>
      </c>
    </row>
    <row r="4" spans="1:11" ht="15" customHeight="1">
      <c r="A4" s="260" t="s">
        <v>7</v>
      </c>
      <c r="B4" s="260"/>
      <c r="C4" s="260"/>
      <c r="D4" s="260"/>
      <c r="E4" s="260"/>
      <c r="F4" s="260"/>
      <c r="G4" s="260"/>
      <c r="H4" s="260"/>
      <c r="I4" s="260"/>
    </row>
    <row r="5" spans="1:11">
      <c r="A5" s="169"/>
      <c r="B5" s="169"/>
      <c r="C5" s="169"/>
      <c r="D5" s="169"/>
      <c r="E5" s="169"/>
      <c r="F5" s="169"/>
      <c r="G5" s="169"/>
      <c r="H5" s="169"/>
      <c r="I5" s="169"/>
    </row>
    <row r="6" spans="1:11" ht="18.75">
      <c r="A6" s="74" t="s">
        <v>24</v>
      </c>
    </row>
    <row r="7" spans="1:11" ht="15.75">
      <c r="A7" s="80" t="s">
        <v>840</v>
      </c>
    </row>
    <row r="9" spans="1:11" ht="15.75">
      <c r="A9" s="73" t="s">
        <v>679</v>
      </c>
    </row>
    <row r="10" spans="1:11">
      <c r="A10" t="s">
        <v>841</v>
      </c>
    </row>
    <row r="11" spans="1:11">
      <c r="A11" s="149"/>
    </row>
    <row r="12" spans="1:11" ht="15.75">
      <c r="A12" s="73" t="s">
        <v>842</v>
      </c>
    </row>
    <row r="13" spans="1:11">
      <c r="A13" t="s">
        <v>17</v>
      </c>
    </row>
    <row r="14" spans="1:11">
      <c r="A14" t="s">
        <v>18</v>
      </c>
    </row>
    <row r="15" spans="1:11">
      <c r="A15" t="s">
        <v>19</v>
      </c>
    </row>
    <row r="16" spans="1:11">
      <c r="A16" t="s">
        <v>20</v>
      </c>
    </row>
    <row r="17" spans="1:4">
      <c r="A17" t="s">
        <v>21</v>
      </c>
    </row>
    <row r="18" spans="1:4">
      <c r="A18" t="s">
        <v>22</v>
      </c>
    </row>
    <row r="19" spans="1:4">
      <c r="A19" t="s">
        <v>23</v>
      </c>
    </row>
    <row r="21" spans="1:4" ht="15.75">
      <c r="A21" s="73" t="s">
        <v>48</v>
      </c>
    </row>
    <row r="22" spans="1:4">
      <c r="A22" s="125" t="s">
        <v>843</v>
      </c>
    </row>
    <row r="23" spans="1:4">
      <c r="A23" s="167" t="s">
        <v>685</v>
      </c>
      <c r="B23" s="167" t="s">
        <v>9</v>
      </c>
      <c r="C23" s="167" t="s">
        <v>10</v>
      </c>
    </row>
    <row r="24" spans="1:4">
      <c r="A24" s="168" t="s">
        <v>220</v>
      </c>
      <c r="B24" s="168">
        <v>10</v>
      </c>
      <c r="C24" s="168">
        <v>30</v>
      </c>
    </row>
    <row r="25" spans="1:4">
      <c r="A25" s="168" t="s">
        <v>221</v>
      </c>
      <c r="B25" s="168">
        <v>40</v>
      </c>
      <c r="C25" s="168">
        <v>50</v>
      </c>
    </row>
    <row r="26" spans="1:4">
      <c r="A26" s="168" t="s">
        <v>222</v>
      </c>
      <c r="B26" s="168">
        <v>70</v>
      </c>
      <c r="C26" s="168">
        <v>80</v>
      </c>
    </row>
    <row r="28" spans="1:4">
      <c r="A28" s="167" t="s">
        <v>844</v>
      </c>
      <c r="B28" s="168" t="str">
        <f t="array" ref="B28:D28">TRANSPOSE(A24:A26)</f>
        <v>E001</v>
      </c>
      <c r="C28" s="168" t="str">
        <v>E002</v>
      </c>
      <c r="D28" s="168" t="str">
        <v>E003</v>
      </c>
    </row>
    <row r="29" spans="1:4">
      <c r="A29" s="167" t="s">
        <v>9</v>
      </c>
      <c r="B29" s="168">
        <f t="array" ref="B29:D29">TRANSPOSE(B24:B26)</f>
        <v>10</v>
      </c>
      <c r="C29" s="168">
        <v>40</v>
      </c>
      <c r="D29" s="168">
        <v>70</v>
      </c>
    </row>
    <row r="30" spans="1:4">
      <c r="A30" s="86" t="s">
        <v>845</v>
      </c>
      <c r="B30" s="246" t="s">
        <v>847</v>
      </c>
      <c r="C30" s="246"/>
      <c r="D30" s="246"/>
    </row>
    <row r="31" spans="1:4">
      <c r="A31" s="86" t="s">
        <v>846</v>
      </c>
      <c r="B31" s="246" t="s">
        <v>848</v>
      </c>
      <c r="C31" s="246"/>
      <c r="D31" s="246"/>
    </row>
    <row r="34" spans="1:4" ht="15.75">
      <c r="A34" s="73" t="s">
        <v>235</v>
      </c>
    </row>
    <row r="35" spans="1:4">
      <c r="A35" s="125" t="s">
        <v>849</v>
      </c>
    </row>
    <row r="36" spans="1:4">
      <c r="A36" s="167" t="s">
        <v>685</v>
      </c>
      <c r="B36" s="167" t="s">
        <v>9</v>
      </c>
      <c r="C36" s="167" t="s">
        <v>10</v>
      </c>
    </row>
    <row r="37" spans="1:4">
      <c r="A37" s="168" t="s">
        <v>220</v>
      </c>
      <c r="B37" s="168">
        <v>10</v>
      </c>
      <c r="C37" s="168">
        <v>30</v>
      </c>
    </row>
    <row r="38" spans="1:4">
      <c r="A38" s="168" t="s">
        <v>221</v>
      </c>
      <c r="B38" s="168">
        <v>40</v>
      </c>
      <c r="C38" s="168">
        <v>50</v>
      </c>
    </row>
    <row r="39" spans="1:4">
      <c r="A39" s="168" t="s">
        <v>222</v>
      </c>
      <c r="B39" s="168">
        <v>70</v>
      </c>
      <c r="C39" s="168">
        <v>80</v>
      </c>
    </row>
    <row r="41" spans="1:4">
      <c r="A41" s="167" t="s">
        <v>844</v>
      </c>
      <c r="B41" s="226" t="e">
        <f>TRANSPOSE(A37:A39)</f>
        <v>#VALUE!</v>
      </c>
      <c r="C41" s="226" t="e">
        <f t="shared" ref="C41:D41" si="0">TRANSPOSE(B37:B39)</f>
        <v>#VALUE!</v>
      </c>
      <c r="D41" s="226" t="e">
        <f t="shared" si="0"/>
        <v>#VALUE!</v>
      </c>
    </row>
    <row r="42" spans="1:4">
      <c r="A42" s="167" t="s">
        <v>9</v>
      </c>
      <c r="B42" s="168" t="e">
        <f>TRANSPOSE(B37:B39)</f>
        <v>#VALUE!</v>
      </c>
      <c r="C42" s="222" t="e">
        <f t="shared" ref="C42:D42" si="1">TRANSPOSE(C37:C39)</f>
        <v>#VALUE!</v>
      </c>
      <c r="D42" s="222" t="e">
        <f t="shared" si="1"/>
        <v>#VALUE!</v>
      </c>
    </row>
  </sheetData>
  <mergeCells count="4">
    <mergeCell ref="B30:D30"/>
    <mergeCell ref="B31:D31"/>
    <mergeCell ref="A1:B1"/>
    <mergeCell ref="A4:I4"/>
  </mergeCells>
  <pageMargins left="0.7" right="0.7" top="0.75" bottom="0.75" header="0.3" footer="0.3"/>
  <pageSetup orientation="portrait" horizontalDpi="4294967293" verticalDpi="4294967293"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P97"/>
  <sheetViews>
    <sheetView showGridLines="0" tabSelected="1" topLeftCell="A71" zoomScale="85" zoomScaleNormal="85" workbookViewId="0">
      <selection activeCell="I103" sqref="I103"/>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bestFit="1" customWidth="1"/>
    <col min="8" max="8" width="10.140625" customWidth="1"/>
    <col min="9" max="9" width="12.140625" customWidth="1"/>
    <col min="10" max="10" width="11.28515625" customWidth="1"/>
    <col min="11" max="11" width="11.140625" customWidth="1"/>
  </cols>
  <sheetData>
    <row r="1" spans="1:11" ht="32.25" thickBot="1">
      <c r="A1" s="259" t="s">
        <v>182</v>
      </c>
      <c r="B1" s="259"/>
      <c r="C1" s="112"/>
      <c r="D1" s="76"/>
      <c r="E1" s="76"/>
      <c r="F1" s="76"/>
      <c r="G1" s="76"/>
      <c r="H1" s="76"/>
      <c r="I1" s="76"/>
      <c r="J1" s="76"/>
      <c r="K1" s="76"/>
    </row>
    <row r="2" spans="1:11" ht="15.75" thickTop="1"/>
    <row r="3" spans="1:11" ht="18.75">
      <c r="A3" s="74" t="s">
        <v>203</v>
      </c>
    </row>
    <row r="4" spans="1:11" ht="15" customHeight="1">
      <c r="A4" s="260" t="s">
        <v>850</v>
      </c>
      <c r="B4" s="260"/>
      <c r="C4" s="260"/>
      <c r="D4" s="260"/>
      <c r="E4" s="260"/>
      <c r="F4" s="260"/>
      <c r="G4" s="260"/>
      <c r="H4" s="260"/>
      <c r="I4" s="260"/>
    </row>
    <row r="5" spans="1:11">
      <c r="A5" s="169"/>
      <c r="B5" s="169"/>
      <c r="C5" s="169"/>
      <c r="D5" s="169"/>
      <c r="E5" s="169"/>
      <c r="F5" s="169"/>
      <c r="G5" s="169"/>
      <c r="H5" s="169"/>
      <c r="I5" s="169"/>
    </row>
    <row r="6" spans="1:11" ht="18.75">
      <c r="A6" s="74" t="s">
        <v>24</v>
      </c>
    </row>
    <row r="7" spans="1:11" ht="15.75">
      <c r="A7" s="80" t="s">
        <v>851</v>
      </c>
    </row>
    <row r="9" spans="1:11" ht="15.75">
      <c r="A9" s="73" t="s">
        <v>756</v>
      </c>
    </row>
    <row r="10" spans="1:11">
      <c r="A10" t="s">
        <v>852</v>
      </c>
    </row>
    <row r="11" spans="1:11">
      <c r="A11" s="149"/>
    </row>
    <row r="12" spans="1:11" ht="15.75">
      <c r="A12" s="73" t="s">
        <v>853</v>
      </c>
    </row>
    <row r="13" spans="1:11">
      <c r="A13" s="227" t="s">
        <v>854</v>
      </c>
      <c r="B13" s="227"/>
      <c r="C13" s="227"/>
      <c r="D13" s="227"/>
      <c r="E13" s="227"/>
      <c r="F13" s="227"/>
      <c r="G13" s="227"/>
      <c r="H13" s="227"/>
      <c r="I13" s="227"/>
      <c r="J13" s="227"/>
    </row>
    <row r="14" spans="1:11">
      <c r="A14" s="227"/>
      <c r="B14" s="227"/>
      <c r="C14" s="227"/>
      <c r="D14" s="227"/>
      <c r="E14" s="227"/>
      <c r="F14" s="227"/>
      <c r="G14" s="227"/>
      <c r="H14" s="227"/>
      <c r="I14" s="227"/>
      <c r="J14" s="227"/>
    </row>
    <row r="15" spans="1:11" ht="15.75">
      <c r="A15" s="73" t="s">
        <v>855</v>
      </c>
    </row>
    <row r="16" spans="1:11">
      <c r="A16" s="227" t="s">
        <v>856</v>
      </c>
      <c r="B16" s="227"/>
      <c r="C16" s="227"/>
      <c r="D16" s="227"/>
      <c r="E16" s="227"/>
      <c r="F16" s="227"/>
      <c r="G16" s="227"/>
      <c r="H16" s="227"/>
      <c r="I16" s="227"/>
      <c r="J16" s="227"/>
    </row>
    <row r="17" spans="1:16">
      <c r="A17" s="227"/>
      <c r="B17" s="227"/>
      <c r="C17" s="227"/>
      <c r="D17" s="227"/>
      <c r="E17" s="227"/>
      <c r="F17" s="227"/>
      <c r="G17" s="227"/>
      <c r="H17" s="227"/>
      <c r="I17" s="227"/>
      <c r="J17" s="227"/>
    </row>
    <row r="18" spans="1:16">
      <c r="A18" s="149"/>
    </row>
    <row r="19" spans="1:16" ht="15.75">
      <c r="A19" s="73" t="s">
        <v>44</v>
      </c>
    </row>
    <row r="20" spans="1:16">
      <c r="A20" s="125" t="s">
        <v>767</v>
      </c>
    </row>
    <row r="21" spans="1:16">
      <c r="A21" s="167" t="s">
        <v>90</v>
      </c>
      <c r="B21" s="167" t="s">
        <v>764</v>
      </c>
      <c r="C21" s="167" t="s">
        <v>765</v>
      </c>
      <c r="D21" s="167" t="s">
        <v>766</v>
      </c>
    </row>
    <row r="22" spans="1:16">
      <c r="A22" s="168" t="s">
        <v>95</v>
      </c>
      <c r="B22" s="185">
        <v>2500</v>
      </c>
      <c r="C22" s="185">
        <v>2000</v>
      </c>
      <c r="D22" s="185">
        <v>3000</v>
      </c>
    </row>
    <row r="23" spans="1:16">
      <c r="A23" s="168" t="s">
        <v>96</v>
      </c>
      <c r="B23" s="185">
        <v>5000</v>
      </c>
      <c r="C23" s="185">
        <v>4999</v>
      </c>
      <c r="D23" s="185">
        <v>5200</v>
      </c>
    </row>
    <row r="24" spans="1:16">
      <c r="A24" s="168" t="s">
        <v>97</v>
      </c>
      <c r="B24" s="185">
        <v>1250</v>
      </c>
      <c r="C24" s="185">
        <v>1302</v>
      </c>
      <c r="D24" s="185">
        <v>1100</v>
      </c>
    </row>
    <row r="25" spans="1:16">
      <c r="A25" s="168" t="s">
        <v>92</v>
      </c>
      <c r="B25" s="185">
        <v>250</v>
      </c>
      <c r="C25" s="185">
        <v>300</v>
      </c>
      <c r="D25" s="185">
        <v>200</v>
      </c>
    </row>
    <row r="26" spans="1:16">
      <c r="A26" s="168" t="s">
        <v>98</v>
      </c>
      <c r="B26" s="185">
        <v>300</v>
      </c>
      <c r="C26" s="185">
        <v>290</v>
      </c>
      <c r="D26" s="185">
        <v>310</v>
      </c>
    </row>
    <row r="27" spans="1:16">
      <c r="A27" s="1"/>
      <c r="B27" s="1"/>
      <c r="C27" s="1"/>
      <c r="D27" s="1"/>
    </row>
    <row r="28" spans="1:16" ht="15" customHeight="1">
      <c r="A28" s="167" t="s">
        <v>87</v>
      </c>
      <c r="B28" s="167" t="s">
        <v>88</v>
      </c>
      <c r="C28" s="167" t="s">
        <v>89</v>
      </c>
      <c r="D28" s="245" t="s">
        <v>217</v>
      </c>
      <c r="E28" s="245"/>
      <c r="F28" s="245"/>
      <c r="H28" s="276" t="s">
        <v>776</v>
      </c>
      <c r="I28" s="276"/>
      <c r="J28" s="276"/>
      <c r="K28" s="276"/>
      <c r="L28" s="276"/>
      <c r="M28" s="276"/>
      <c r="N28" s="276"/>
      <c r="O28" s="276"/>
      <c r="P28" s="276"/>
    </row>
    <row r="29" spans="1:16">
      <c r="A29" s="168" t="s">
        <v>764</v>
      </c>
      <c r="B29" s="168" t="s">
        <v>92</v>
      </c>
      <c r="C29" s="69">
        <f>VLOOKUP(B29,$A$22:$B$26,2,FALSE)</f>
        <v>250</v>
      </c>
      <c r="D29" s="274" t="s">
        <v>768</v>
      </c>
      <c r="E29" s="274"/>
      <c r="F29" s="274"/>
      <c r="H29" s="276"/>
      <c r="I29" s="276"/>
      <c r="J29" s="276"/>
      <c r="K29" s="276"/>
      <c r="L29" s="276"/>
      <c r="M29" s="276"/>
      <c r="N29" s="276"/>
      <c r="O29" s="276"/>
      <c r="P29" s="276"/>
    </row>
    <row r="30" spans="1:16">
      <c r="A30" s="168" t="s">
        <v>765</v>
      </c>
      <c r="B30" s="168" t="s">
        <v>95</v>
      </c>
      <c r="C30" s="69">
        <f>VLOOKUP(B30,$A$22:$C$26,3,FALSE)</f>
        <v>2000</v>
      </c>
      <c r="D30" s="274" t="s">
        <v>769</v>
      </c>
      <c r="E30" s="274"/>
      <c r="F30" s="274"/>
      <c r="H30" s="276"/>
      <c r="I30" s="276"/>
      <c r="J30" s="276"/>
      <c r="K30" s="276"/>
      <c r="L30" s="276"/>
      <c r="M30" s="276"/>
      <c r="N30" s="276"/>
      <c r="O30" s="276"/>
      <c r="P30" s="276"/>
    </row>
    <row r="31" spans="1:16">
      <c r="A31" s="168" t="s">
        <v>766</v>
      </c>
      <c r="B31" s="168" t="s">
        <v>96</v>
      </c>
      <c r="C31" s="69">
        <f>VLOOKUP(B31,$A$22:$D$26,4,FALSE)</f>
        <v>5200</v>
      </c>
      <c r="D31" s="274" t="s">
        <v>770</v>
      </c>
      <c r="E31" s="274"/>
      <c r="F31" s="274"/>
      <c r="H31" s="276"/>
      <c r="I31" s="276"/>
      <c r="J31" s="276"/>
      <c r="K31" s="276"/>
      <c r="L31" s="276"/>
      <c r="M31" s="276"/>
      <c r="N31" s="276"/>
      <c r="O31" s="276"/>
      <c r="P31" s="276"/>
    </row>
    <row r="32" spans="1:16">
      <c r="A32" s="168" t="s">
        <v>766</v>
      </c>
      <c r="B32" s="168" t="s">
        <v>97</v>
      </c>
      <c r="C32" s="69">
        <f>VLOOKUP(B32,$A$22:$D$26,4,FALSE)</f>
        <v>1100</v>
      </c>
      <c r="D32" s="274" t="s">
        <v>771</v>
      </c>
      <c r="E32" s="274"/>
      <c r="F32" s="274"/>
      <c r="H32" s="276"/>
      <c r="I32" s="276"/>
      <c r="J32" s="276"/>
      <c r="K32" s="276"/>
      <c r="L32" s="276"/>
      <c r="M32" s="276"/>
      <c r="N32" s="276"/>
      <c r="O32" s="276"/>
      <c r="P32" s="276"/>
    </row>
    <row r="33" spans="1:16">
      <c r="A33" s="168" t="s">
        <v>764</v>
      </c>
      <c r="B33" s="168" t="s">
        <v>92</v>
      </c>
      <c r="C33" s="69">
        <f>VLOOKUP(B33,$A$22:$B$26,2,FALSE)</f>
        <v>250</v>
      </c>
      <c r="D33" s="274" t="s">
        <v>772</v>
      </c>
      <c r="E33" s="274"/>
      <c r="F33" s="274"/>
      <c r="H33" s="276"/>
      <c r="I33" s="276"/>
      <c r="J33" s="276"/>
      <c r="K33" s="276"/>
      <c r="L33" s="276"/>
      <c r="M33" s="276"/>
      <c r="N33" s="276"/>
      <c r="O33" s="276"/>
      <c r="P33" s="276"/>
    </row>
    <row r="34" spans="1:16">
      <c r="A34" s="168" t="s">
        <v>764</v>
      </c>
      <c r="B34" s="168" t="s">
        <v>98</v>
      </c>
      <c r="C34" s="69">
        <f>VLOOKUP(B34,$A$22:$B$26,2,FALSE)</f>
        <v>300</v>
      </c>
      <c r="D34" s="274" t="s">
        <v>773</v>
      </c>
      <c r="E34" s="274"/>
      <c r="F34" s="274"/>
      <c r="H34" s="276"/>
      <c r="I34" s="276"/>
      <c r="J34" s="276"/>
      <c r="K34" s="276"/>
      <c r="L34" s="276"/>
      <c r="M34" s="276"/>
      <c r="N34" s="276"/>
      <c r="O34" s="276"/>
      <c r="P34" s="276"/>
    </row>
    <row r="35" spans="1:16">
      <c r="A35" s="168" t="s">
        <v>765</v>
      </c>
      <c r="B35" s="168" t="s">
        <v>95</v>
      </c>
      <c r="C35" s="69">
        <f>VLOOKUP(B35,$A$22:$C$26,3,FALSE)</f>
        <v>2000</v>
      </c>
      <c r="D35" s="274" t="s">
        <v>774</v>
      </c>
      <c r="E35" s="274"/>
      <c r="F35" s="274"/>
      <c r="H35" s="276"/>
      <c r="I35" s="276"/>
      <c r="J35" s="276"/>
      <c r="K35" s="276"/>
      <c r="L35" s="276"/>
      <c r="M35" s="276"/>
      <c r="N35" s="276"/>
      <c r="O35" s="276"/>
      <c r="P35" s="276"/>
    </row>
    <row r="36" spans="1:16">
      <c r="A36" s="168" t="s">
        <v>765</v>
      </c>
      <c r="B36" s="168" t="s">
        <v>96</v>
      </c>
      <c r="C36" s="69">
        <f>VLOOKUP(B36,$A$22:$C$26,3,FALSE)</f>
        <v>4999</v>
      </c>
      <c r="D36" s="274" t="s">
        <v>775</v>
      </c>
      <c r="E36" s="274"/>
      <c r="F36" s="274"/>
      <c r="H36" s="276"/>
      <c r="I36" s="276"/>
      <c r="J36" s="276"/>
      <c r="K36" s="276"/>
      <c r="L36" s="276"/>
      <c r="M36" s="276"/>
      <c r="N36" s="276"/>
      <c r="O36" s="276"/>
      <c r="P36" s="276"/>
    </row>
    <row r="39" spans="1:16" ht="15.75">
      <c r="A39" s="73" t="s">
        <v>78</v>
      </c>
    </row>
    <row r="40" spans="1:16">
      <c r="A40" s="227" t="s">
        <v>777</v>
      </c>
      <c r="B40" s="227"/>
      <c r="C40" s="227"/>
      <c r="D40" s="227"/>
      <c r="E40" s="227"/>
      <c r="F40" s="227"/>
      <c r="G40" s="227"/>
      <c r="H40" s="227"/>
      <c r="I40" s="227"/>
      <c r="J40" s="227"/>
    </row>
    <row r="41" spans="1:16">
      <c r="A41" s="227"/>
      <c r="B41" s="227"/>
      <c r="C41" s="227"/>
      <c r="D41" s="227"/>
      <c r="E41" s="227"/>
      <c r="F41" s="227"/>
      <c r="G41" s="227"/>
      <c r="H41" s="227"/>
      <c r="I41" s="227"/>
      <c r="J41" s="227"/>
    </row>
    <row r="42" spans="1:16">
      <c r="A42" s="275" t="s">
        <v>137</v>
      </c>
      <c r="B42" s="275"/>
      <c r="C42" s="165"/>
      <c r="D42" s="275" t="s">
        <v>138</v>
      </c>
      <c r="E42" s="275"/>
      <c r="F42" s="165"/>
      <c r="G42" s="165"/>
      <c r="H42" s="165"/>
      <c r="I42" s="165"/>
      <c r="J42" s="165"/>
    </row>
    <row r="43" spans="1:16">
      <c r="A43" s="167" t="s">
        <v>778</v>
      </c>
      <c r="B43" s="167" t="s">
        <v>89</v>
      </c>
      <c r="D43" s="167" t="s">
        <v>778</v>
      </c>
      <c r="E43" s="167" t="s">
        <v>783</v>
      </c>
    </row>
    <row r="44" spans="1:16">
      <c r="A44" s="168" t="s">
        <v>779</v>
      </c>
      <c r="B44" s="186">
        <v>5.0999999999999996</v>
      </c>
      <c r="D44" s="168" t="s">
        <v>779</v>
      </c>
      <c r="E44" s="186">
        <v>7.5</v>
      </c>
    </row>
    <row r="45" spans="1:16">
      <c r="A45" s="168" t="s">
        <v>780</v>
      </c>
      <c r="B45" s="186">
        <v>1.1000000000000001</v>
      </c>
      <c r="D45" s="168" t="s">
        <v>780</v>
      </c>
      <c r="E45" s="186">
        <v>1.1499999999999999</v>
      </c>
    </row>
    <row r="46" spans="1:16">
      <c r="A46" s="168" t="s">
        <v>781</v>
      </c>
      <c r="B46" s="186">
        <v>1.5</v>
      </c>
      <c r="D46" s="168" t="s">
        <v>781</v>
      </c>
      <c r="E46" s="186">
        <v>2.5</v>
      </c>
    </row>
    <row r="47" spans="1:16">
      <c r="A47" s="168" t="s">
        <v>782</v>
      </c>
      <c r="B47" s="186">
        <v>2.5</v>
      </c>
      <c r="D47" s="168" t="s">
        <v>782</v>
      </c>
      <c r="E47" s="186">
        <v>3.75</v>
      </c>
    </row>
    <row r="49" spans="1:11">
      <c r="A49" s="229" t="s">
        <v>784</v>
      </c>
      <c r="B49" s="229"/>
      <c r="C49" s="229"/>
      <c r="D49" s="229"/>
      <c r="E49" s="229"/>
      <c r="F49" s="229"/>
      <c r="G49" s="229"/>
      <c r="H49" s="229"/>
      <c r="I49" s="229"/>
      <c r="J49" s="229"/>
      <c r="K49" s="229"/>
    </row>
    <row r="50" spans="1:11">
      <c r="A50" s="167" t="s">
        <v>778</v>
      </c>
      <c r="B50" s="167" t="s">
        <v>130</v>
      </c>
      <c r="C50" s="167" t="s">
        <v>89</v>
      </c>
      <c r="D50" s="167" t="s">
        <v>783</v>
      </c>
      <c r="E50" s="167" t="s">
        <v>785</v>
      </c>
      <c r="F50" s="245" t="s">
        <v>790</v>
      </c>
      <c r="G50" s="245"/>
      <c r="H50" s="245"/>
      <c r="I50" s="245" t="s">
        <v>795</v>
      </c>
      <c r="J50" s="245"/>
      <c r="K50" s="245"/>
    </row>
    <row r="51" spans="1:11">
      <c r="A51" s="168" t="s">
        <v>779</v>
      </c>
      <c r="B51" s="171">
        <v>500</v>
      </c>
      <c r="C51" s="188">
        <f>VLOOKUP(A51,$A$44:$B$47,2,FALSE)</f>
        <v>5.0999999999999996</v>
      </c>
      <c r="D51" s="187">
        <f>VLOOKUP(A51,$D$44:$E$47,2,FALSE)</f>
        <v>7.5</v>
      </c>
      <c r="E51" s="186">
        <f>(D51-C51)*B51</f>
        <v>1200.0000000000002</v>
      </c>
      <c r="F51" s="273" t="s">
        <v>786</v>
      </c>
      <c r="G51" s="273"/>
      <c r="H51" s="273"/>
      <c r="I51" s="274" t="s">
        <v>791</v>
      </c>
      <c r="J51" s="274"/>
      <c r="K51" s="274"/>
    </row>
    <row r="52" spans="1:11">
      <c r="A52" s="168" t="s">
        <v>780</v>
      </c>
      <c r="B52" s="171">
        <v>100</v>
      </c>
      <c r="C52" s="188">
        <f t="shared" ref="C52:C55" si="0">VLOOKUP(A52,$A$44:$B$47,2,FALSE)</f>
        <v>1.1000000000000001</v>
      </c>
      <c r="D52" s="187">
        <f t="shared" ref="D52:D55" si="1">VLOOKUP(A52,$D$44:$E$47,2,FALSE)</f>
        <v>1.1499999999999999</v>
      </c>
      <c r="E52" s="186">
        <f t="shared" ref="E52:E54" si="2">(D52-C52)*B52</f>
        <v>4.9999999999999822</v>
      </c>
      <c r="F52" s="273" t="s">
        <v>787</v>
      </c>
      <c r="G52" s="273"/>
      <c r="H52" s="273"/>
      <c r="I52" s="274" t="s">
        <v>792</v>
      </c>
      <c r="J52" s="274"/>
      <c r="K52" s="274"/>
    </row>
    <row r="53" spans="1:11">
      <c r="A53" s="168" t="s">
        <v>781</v>
      </c>
      <c r="B53" s="171">
        <v>250</v>
      </c>
      <c r="C53" s="188">
        <f t="shared" si="0"/>
        <v>1.5</v>
      </c>
      <c r="D53" s="187">
        <f t="shared" si="1"/>
        <v>2.5</v>
      </c>
      <c r="E53" s="186">
        <f t="shared" si="2"/>
        <v>250</v>
      </c>
      <c r="F53" s="273" t="s">
        <v>788</v>
      </c>
      <c r="G53" s="273"/>
      <c r="H53" s="273"/>
      <c r="I53" s="274" t="s">
        <v>793</v>
      </c>
      <c r="J53" s="274"/>
      <c r="K53" s="274"/>
    </row>
    <row r="54" spans="1:11">
      <c r="A54" s="168" t="s">
        <v>782</v>
      </c>
      <c r="B54" s="171">
        <v>100</v>
      </c>
      <c r="C54" s="188">
        <f t="shared" si="0"/>
        <v>2.5</v>
      </c>
      <c r="D54" s="187">
        <f t="shared" si="1"/>
        <v>3.75</v>
      </c>
      <c r="E54" s="186">
        <f t="shared" si="2"/>
        <v>125</v>
      </c>
      <c r="F54" s="273" t="s">
        <v>789</v>
      </c>
      <c r="G54" s="273"/>
      <c r="H54" s="273"/>
      <c r="I54" s="274" t="s">
        <v>794</v>
      </c>
      <c r="J54" s="274"/>
      <c r="K54" s="274"/>
    </row>
    <row r="55" spans="1:11">
      <c r="A55" s="168" t="s">
        <v>797</v>
      </c>
      <c r="B55" s="171">
        <v>990</v>
      </c>
      <c r="C55" s="188" t="e">
        <f t="shared" si="0"/>
        <v>#N/A</v>
      </c>
      <c r="D55" s="187" t="e">
        <f t="shared" si="1"/>
        <v>#N/A</v>
      </c>
      <c r="E55" s="186"/>
      <c r="F55" s="273" t="s">
        <v>798</v>
      </c>
      <c r="G55" s="273"/>
      <c r="H55" s="273"/>
      <c r="I55" s="274" t="s">
        <v>799</v>
      </c>
      <c r="J55" s="274"/>
      <c r="K55" s="274"/>
    </row>
    <row r="56" spans="1:11">
      <c r="A56" s="190" t="s">
        <v>813</v>
      </c>
    </row>
    <row r="60" spans="1:11" ht="15" customHeight="1">
      <c r="B60" s="241" t="s">
        <v>800</v>
      </c>
      <c r="C60" s="241"/>
      <c r="D60" s="241"/>
    </row>
    <row r="61" spans="1:11">
      <c r="B61" s="241"/>
      <c r="C61" s="241"/>
      <c r="D61" s="241"/>
    </row>
    <row r="62" spans="1:11">
      <c r="B62" s="241"/>
      <c r="C62" s="241"/>
      <c r="D62" s="241"/>
    </row>
    <row r="63" spans="1:11">
      <c r="B63" s="241"/>
      <c r="C63" s="241"/>
      <c r="D63" s="241"/>
    </row>
    <row r="66" spans="1:10" ht="15.75">
      <c r="A66" s="73" t="s">
        <v>454</v>
      </c>
    </row>
    <row r="67" spans="1:10">
      <c r="A67" s="227" t="s">
        <v>801</v>
      </c>
      <c r="B67" s="227"/>
      <c r="C67" s="227"/>
      <c r="D67" s="227"/>
      <c r="E67" s="227"/>
      <c r="F67" s="227"/>
      <c r="G67" s="227"/>
      <c r="H67" s="227"/>
      <c r="I67" s="227"/>
      <c r="J67" s="227"/>
    </row>
    <row r="68" spans="1:10">
      <c r="A68" s="227"/>
      <c r="B68" s="227"/>
      <c r="C68" s="227"/>
      <c r="D68" s="227"/>
      <c r="E68" s="227"/>
      <c r="F68" s="227"/>
      <c r="G68" s="227"/>
      <c r="H68" s="227"/>
      <c r="I68" s="227"/>
      <c r="J68" s="227"/>
    </row>
    <row r="69" spans="1:10">
      <c r="A69" s="275" t="s">
        <v>137</v>
      </c>
      <c r="B69" s="275"/>
      <c r="C69" s="165"/>
      <c r="D69" s="275" t="s">
        <v>138</v>
      </c>
      <c r="E69" s="275"/>
      <c r="F69" s="165"/>
      <c r="G69" s="275" t="s">
        <v>784</v>
      </c>
      <c r="H69" s="275"/>
      <c r="I69" s="165"/>
      <c r="J69" s="165"/>
    </row>
    <row r="70" spans="1:10">
      <c r="A70" s="167" t="s">
        <v>803</v>
      </c>
      <c r="B70" s="167" t="s">
        <v>224</v>
      </c>
      <c r="D70" s="167" t="s">
        <v>803</v>
      </c>
      <c r="E70" s="167" t="s">
        <v>227</v>
      </c>
      <c r="G70" s="167" t="s">
        <v>803</v>
      </c>
      <c r="H70" s="167" t="s">
        <v>810</v>
      </c>
    </row>
    <row r="71" spans="1:10">
      <c r="A71" s="168" t="s">
        <v>804</v>
      </c>
      <c r="B71" s="189" t="s">
        <v>225</v>
      </c>
      <c r="D71" s="168" t="s">
        <v>804</v>
      </c>
      <c r="E71" s="189">
        <v>85000</v>
      </c>
      <c r="G71" s="168" t="s">
        <v>804</v>
      </c>
      <c r="H71" s="189" t="s">
        <v>691</v>
      </c>
    </row>
    <row r="72" spans="1:10">
      <c r="A72" s="168" t="s">
        <v>805</v>
      </c>
      <c r="B72" s="189" t="s">
        <v>809</v>
      </c>
      <c r="D72" s="168" t="s">
        <v>805</v>
      </c>
      <c r="E72" s="189">
        <v>60000</v>
      </c>
      <c r="G72" s="168" t="s">
        <v>805</v>
      </c>
      <c r="H72" s="189" t="s">
        <v>691</v>
      </c>
    </row>
    <row r="73" spans="1:10">
      <c r="A73" s="168" t="s">
        <v>806</v>
      </c>
      <c r="B73" s="189" t="s">
        <v>225</v>
      </c>
      <c r="D73" s="168" t="s">
        <v>806</v>
      </c>
      <c r="E73" s="189">
        <v>65000</v>
      </c>
      <c r="G73" s="168" t="s">
        <v>806</v>
      </c>
      <c r="H73" s="189" t="s">
        <v>692</v>
      </c>
    </row>
    <row r="74" spans="1:10">
      <c r="A74" s="168" t="s">
        <v>807</v>
      </c>
      <c r="B74" s="189" t="s">
        <v>226</v>
      </c>
      <c r="D74" s="168" t="s">
        <v>807</v>
      </c>
      <c r="E74" s="189">
        <v>50000</v>
      </c>
      <c r="G74" s="168" t="s">
        <v>807</v>
      </c>
      <c r="H74" s="189" t="s">
        <v>690</v>
      </c>
    </row>
    <row r="75" spans="1:10">
      <c r="A75" s="168" t="s">
        <v>808</v>
      </c>
      <c r="B75" s="189" t="s">
        <v>226</v>
      </c>
      <c r="D75" s="168" t="s">
        <v>808</v>
      </c>
      <c r="E75" s="189">
        <v>45000</v>
      </c>
      <c r="G75" s="168" t="s">
        <v>808</v>
      </c>
      <c r="H75" s="189" t="s">
        <v>692</v>
      </c>
    </row>
    <row r="78" spans="1:10">
      <c r="A78" s="229" t="s">
        <v>811</v>
      </c>
      <c r="B78" s="229"/>
      <c r="C78" s="229"/>
      <c r="D78" s="229"/>
    </row>
    <row r="79" spans="1:10">
      <c r="A79" s="167" t="s">
        <v>803</v>
      </c>
      <c r="B79" s="167" t="s">
        <v>224</v>
      </c>
      <c r="C79" s="167" t="s">
        <v>227</v>
      </c>
      <c r="D79" s="167" t="s">
        <v>810</v>
      </c>
    </row>
    <row r="80" spans="1:10">
      <c r="A80" s="168" t="s">
        <v>807</v>
      </c>
      <c r="B80" s="86" t="str">
        <f>VLOOKUP(A80,$A$71:$B$75, 2, FALSE)</f>
        <v>Analyst</v>
      </c>
      <c r="C80" s="189">
        <f>VLOOKUP(A80,$D$71:$E$75, 2, FALSE)</f>
        <v>50000</v>
      </c>
      <c r="D80" s="86" t="str">
        <f>VLOOKUP(A80,$G$71:$H$75, 2, FALSE)</f>
        <v>HR</v>
      </c>
    </row>
    <row r="81" spans="1:9">
      <c r="A81" s="168" t="s">
        <v>808</v>
      </c>
      <c r="B81" s="86" t="str">
        <f t="shared" ref="B81:B85" si="3">VLOOKUP(A81,$A$71:$B$75, 2, FALSE)</f>
        <v>Analyst</v>
      </c>
      <c r="C81" s="189">
        <f t="shared" ref="C81:C85" si="4">VLOOKUP(A81,$D$71:$E$75, 2, FALSE)</f>
        <v>45000</v>
      </c>
      <c r="D81" s="86" t="str">
        <f t="shared" ref="D81:D85" si="5">VLOOKUP(A81,$G$71:$H$75, 2, FALSE)</f>
        <v>IT</v>
      </c>
    </row>
    <row r="82" spans="1:9">
      <c r="A82" s="168" t="s">
        <v>806</v>
      </c>
      <c r="B82" s="86" t="str">
        <f t="shared" si="3"/>
        <v>AVP</v>
      </c>
      <c r="C82" s="189">
        <f t="shared" si="4"/>
        <v>65000</v>
      </c>
      <c r="D82" s="86" t="str">
        <f t="shared" si="5"/>
        <v>IT</v>
      </c>
    </row>
    <row r="83" spans="1:9">
      <c r="A83" s="168" t="s">
        <v>804</v>
      </c>
      <c r="B83" s="86" t="str">
        <f t="shared" si="3"/>
        <v>AVP</v>
      </c>
      <c r="C83" s="189">
        <f t="shared" si="4"/>
        <v>85000</v>
      </c>
      <c r="D83" s="86" t="str">
        <f t="shared" si="5"/>
        <v>Analytics</v>
      </c>
    </row>
    <row r="84" spans="1:9">
      <c r="A84" s="168" t="s">
        <v>812</v>
      </c>
      <c r="B84" s="86" t="e">
        <f t="shared" si="3"/>
        <v>#N/A</v>
      </c>
      <c r="C84" s="189" t="e">
        <f t="shared" si="4"/>
        <v>#N/A</v>
      </c>
      <c r="D84" s="86" t="e">
        <f t="shared" si="5"/>
        <v>#N/A</v>
      </c>
    </row>
    <row r="85" spans="1:9">
      <c r="A85" s="168" t="s">
        <v>805</v>
      </c>
      <c r="B85" s="86" t="str">
        <f t="shared" si="3"/>
        <v>Analayst</v>
      </c>
      <c r="C85" s="189">
        <f t="shared" si="4"/>
        <v>60000</v>
      </c>
      <c r="D85" s="86" t="str">
        <f t="shared" si="5"/>
        <v>Analytics</v>
      </c>
    </row>
    <row r="88" spans="1:9" ht="15.75">
      <c r="A88" s="73" t="s">
        <v>455</v>
      </c>
    </row>
    <row r="89" spans="1:9">
      <c r="A89" s="125" t="s">
        <v>814</v>
      </c>
    </row>
    <row r="90" spans="1:9" ht="15" customHeight="1">
      <c r="A90" s="167" t="s">
        <v>90</v>
      </c>
      <c r="B90" s="167" t="s">
        <v>95</v>
      </c>
      <c r="C90" s="167" t="s">
        <v>96</v>
      </c>
      <c r="D90" s="167" t="s">
        <v>97</v>
      </c>
      <c r="E90" s="167" t="s">
        <v>92</v>
      </c>
      <c r="F90" s="167" t="s">
        <v>98</v>
      </c>
    </row>
    <row r="91" spans="1:9">
      <c r="A91" s="170" t="s">
        <v>764</v>
      </c>
      <c r="B91" s="185">
        <v>2500</v>
      </c>
      <c r="C91" s="185">
        <v>5000</v>
      </c>
      <c r="D91" s="185">
        <v>1250</v>
      </c>
      <c r="E91" s="185">
        <v>250</v>
      </c>
      <c r="F91" s="185">
        <v>300</v>
      </c>
    </row>
    <row r="92" spans="1:9">
      <c r="A92" s="170" t="s">
        <v>765</v>
      </c>
      <c r="B92" s="185">
        <v>2000</v>
      </c>
      <c r="C92" s="185">
        <v>4999</v>
      </c>
      <c r="D92" s="185">
        <v>1302</v>
      </c>
      <c r="E92" s="185">
        <v>300</v>
      </c>
      <c r="F92" s="185">
        <v>290</v>
      </c>
    </row>
    <row r="93" spans="1:9">
      <c r="A93" s="170" t="s">
        <v>766</v>
      </c>
      <c r="B93" s="185">
        <v>3000</v>
      </c>
      <c r="C93" s="185">
        <v>5200</v>
      </c>
      <c r="D93" s="185">
        <v>1100</v>
      </c>
      <c r="E93" s="185">
        <v>200</v>
      </c>
      <c r="F93" s="185">
        <v>310</v>
      </c>
    </row>
    <row r="95" spans="1:9">
      <c r="A95" s="167" t="s">
        <v>87</v>
      </c>
      <c r="B95" s="168" t="s">
        <v>764</v>
      </c>
      <c r="C95" s="168" t="s">
        <v>765</v>
      </c>
      <c r="D95" s="168" t="s">
        <v>766</v>
      </c>
      <c r="E95" s="168" t="s">
        <v>766</v>
      </c>
      <c r="F95" s="168" t="s">
        <v>764</v>
      </c>
      <c r="G95" s="168" t="s">
        <v>764</v>
      </c>
      <c r="H95" s="168" t="s">
        <v>765</v>
      </c>
      <c r="I95" s="168" t="s">
        <v>765</v>
      </c>
    </row>
    <row r="96" spans="1:9">
      <c r="A96" s="167" t="s">
        <v>88</v>
      </c>
      <c r="B96" s="168" t="s">
        <v>98</v>
      </c>
      <c r="C96" s="168" t="s">
        <v>95</v>
      </c>
      <c r="D96" s="168" t="s">
        <v>816</v>
      </c>
      <c r="E96" s="168" t="s">
        <v>97</v>
      </c>
      <c r="F96" s="168" t="s">
        <v>92</v>
      </c>
      <c r="G96" s="168" t="s">
        <v>96</v>
      </c>
      <c r="H96" s="168" t="s">
        <v>95</v>
      </c>
      <c r="I96" s="168" t="s">
        <v>96</v>
      </c>
    </row>
    <row r="97" spans="1:9">
      <c r="A97" s="167" t="s">
        <v>815</v>
      </c>
      <c r="B97" s="185">
        <f>VLOOKUP(B95,$A$91:$F$93, 6, FALSE)</f>
        <v>300</v>
      </c>
      <c r="C97" s="185">
        <f>VLOOKUP(C95,$A$91:$F$93, 2, FALSE)</f>
        <v>2000</v>
      </c>
      <c r="D97" s="185">
        <f>VLOOKUP(D95,$A$91:$F$93, 2, FALSE)</f>
        <v>3000</v>
      </c>
      <c r="E97" s="185">
        <f>VLOOKUP(E95,$A$91:$F$93, 4, FALSE)</f>
        <v>1100</v>
      </c>
      <c r="F97" s="185">
        <f>VLOOKUP(F95,$A$91:$F$93, 5, FALSE)</f>
        <v>250</v>
      </c>
      <c r="G97" s="185">
        <f>VLOOKUP(G95,$A$91:$F$93, 3, FALSE)</f>
        <v>5000</v>
      </c>
      <c r="H97" s="185">
        <f>VLOOKUP(H95,$A$91:$F$93, 2, FALSE)</f>
        <v>2000</v>
      </c>
      <c r="I97" s="185">
        <f>VLOOKUP(I95,$A$91:$F$93, 3, FALSE)</f>
        <v>4999</v>
      </c>
    </row>
  </sheetData>
  <mergeCells count="36">
    <mergeCell ref="D36:F36"/>
    <mergeCell ref="A40:J41"/>
    <mergeCell ref="A42:B42"/>
    <mergeCell ref="D42:E42"/>
    <mergeCell ref="A4:I4"/>
    <mergeCell ref="A13:J14"/>
    <mergeCell ref="D28:F28"/>
    <mergeCell ref="H28:P36"/>
    <mergeCell ref="D29:F29"/>
    <mergeCell ref="D30:F30"/>
    <mergeCell ref="D31:F31"/>
    <mergeCell ref="D32:F32"/>
    <mergeCell ref="D33:F33"/>
    <mergeCell ref="A78:D78"/>
    <mergeCell ref="F53:H53"/>
    <mergeCell ref="I53:K53"/>
    <mergeCell ref="F54:H54"/>
    <mergeCell ref="I54:K54"/>
    <mergeCell ref="F55:H55"/>
    <mergeCell ref="I55:K55"/>
    <mergeCell ref="A1:B1"/>
    <mergeCell ref="A16:J17"/>
    <mergeCell ref="B60:D63"/>
    <mergeCell ref="A67:J68"/>
    <mergeCell ref="A69:B69"/>
    <mergeCell ref="D69:E69"/>
    <mergeCell ref="G69:H69"/>
    <mergeCell ref="A49:K49"/>
    <mergeCell ref="F50:H50"/>
    <mergeCell ref="I50:K50"/>
    <mergeCell ref="F51:H51"/>
    <mergeCell ref="I51:K51"/>
    <mergeCell ref="F52:H52"/>
    <mergeCell ref="I52:K52"/>
    <mergeCell ref="D34:F34"/>
    <mergeCell ref="D35:F35"/>
  </mergeCells>
  <pageMargins left="0.7" right="0.7" top="0.75" bottom="0.75" header="0.3" footer="0.3"/>
  <pageSetup orientation="portrait" horizontalDpi="4294967293" verticalDpi="4294967293"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K80"/>
  <sheetViews>
    <sheetView showGridLines="0" topLeftCell="A56" zoomScale="90" zoomScaleNormal="90" workbookViewId="0">
      <selection activeCell="L96" sqref="L96"/>
    </sheetView>
  </sheetViews>
  <sheetFormatPr defaultRowHeight="15"/>
  <cols>
    <col min="1" max="1" width="12.85546875" customWidth="1"/>
    <col min="2" max="2" width="12.7109375" customWidth="1"/>
    <col min="3" max="3" width="10.140625" customWidth="1"/>
    <col min="4" max="4" width="17.140625" bestFit="1" customWidth="1"/>
    <col min="5" max="5" width="18.140625"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183</v>
      </c>
      <c r="B1" s="259"/>
      <c r="C1" s="112"/>
      <c r="D1" s="76"/>
      <c r="E1" s="76"/>
      <c r="F1" s="76"/>
      <c r="G1" s="76"/>
      <c r="H1" s="76"/>
      <c r="I1" s="76"/>
      <c r="J1" s="76"/>
      <c r="K1" s="76"/>
    </row>
    <row r="2" spans="1:11" ht="15.75" thickTop="1"/>
    <row r="3" spans="1:11" ht="18.75">
      <c r="A3" s="74" t="s">
        <v>203</v>
      </c>
    </row>
    <row r="4" spans="1:11" ht="15" customHeight="1">
      <c r="A4" s="260" t="s">
        <v>630</v>
      </c>
      <c r="B4" s="260"/>
      <c r="C4" s="260"/>
      <c r="D4" s="260"/>
      <c r="E4" s="260"/>
      <c r="F4" s="260"/>
      <c r="G4" s="260"/>
      <c r="H4" s="260"/>
      <c r="I4" s="260"/>
    </row>
    <row r="5" spans="1:11">
      <c r="A5" s="135"/>
      <c r="B5" s="135"/>
      <c r="C5" s="135"/>
      <c r="D5" s="135"/>
      <c r="E5" s="135"/>
      <c r="F5" s="135"/>
      <c r="G5" s="135"/>
      <c r="H5" s="135"/>
      <c r="I5" s="135"/>
    </row>
    <row r="6" spans="1:11" ht="18.75">
      <c r="A6" s="74" t="s">
        <v>24</v>
      </c>
    </row>
    <row r="7" spans="1:11" ht="15.75">
      <c r="A7" s="80" t="s">
        <v>631</v>
      </c>
    </row>
    <row r="9" spans="1:11" ht="15.75">
      <c r="A9" s="73" t="s">
        <v>632</v>
      </c>
    </row>
    <row r="10" spans="1:11">
      <c r="A10" t="s">
        <v>633</v>
      </c>
    </row>
    <row r="11" spans="1:11">
      <c r="A11" s="149"/>
    </row>
    <row r="12" spans="1:11" ht="15.75">
      <c r="A12" s="73" t="s">
        <v>634</v>
      </c>
    </row>
    <row r="13" spans="1:11">
      <c r="A13" t="s">
        <v>635</v>
      </c>
    </row>
    <row r="14" spans="1:11">
      <c r="A14" s="149"/>
    </row>
    <row r="15" spans="1:11" ht="15.75">
      <c r="A15" s="73" t="s">
        <v>44</v>
      </c>
    </row>
    <row r="16" spans="1:11">
      <c r="A16" s="125" t="s">
        <v>636</v>
      </c>
    </row>
    <row r="17" spans="1:5">
      <c r="A17" s="131" t="s">
        <v>304</v>
      </c>
      <c r="B17" s="131" t="s">
        <v>305</v>
      </c>
      <c r="C17" s="128" t="s">
        <v>637</v>
      </c>
      <c r="D17" s="128" t="s">
        <v>49</v>
      </c>
      <c r="E17" s="128" t="s">
        <v>217</v>
      </c>
    </row>
    <row r="18" spans="1:5">
      <c r="A18" s="140">
        <v>5</v>
      </c>
      <c r="B18" s="140">
        <v>12</v>
      </c>
      <c r="C18" s="143">
        <v>17</v>
      </c>
      <c r="D18" s="143">
        <f>SUM(A18:C18)</f>
        <v>34</v>
      </c>
      <c r="E18" s="140" t="s">
        <v>638</v>
      </c>
    </row>
    <row r="19" spans="1:5">
      <c r="A19" s="140">
        <v>10</v>
      </c>
      <c r="B19" s="140">
        <v>18</v>
      </c>
      <c r="C19" s="143">
        <v>23</v>
      </c>
      <c r="D19" s="143">
        <f>SUM(A19,B19,C19,H18)</f>
        <v>51</v>
      </c>
      <c r="E19" s="140" t="s">
        <v>639</v>
      </c>
    </row>
    <row r="20" spans="1:5">
      <c r="A20" s="140">
        <v>20</v>
      </c>
      <c r="B20" s="140">
        <v>100</v>
      </c>
      <c r="C20" s="143">
        <v>999</v>
      </c>
      <c r="D20" s="143">
        <f>A20+B20+C20</f>
        <v>1119</v>
      </c>
      <c r="E20" s="140" t="s">
        <v>640</v>
      </c>
    </row>
    <row r="21" spans="1:5">
      <c r="A21" s="126"/>
      <c r="B21" s="126"/>
      <c r="C21" s="126"/>
    </row>
    <row r="22" spans="1:5" ht="15.75">
      <c r="A22" s="73" t="s">
        <v>78</v>
      </c>
      <c r="B22" s="126"/>
      <c r="C22" s="126"/>
    </row>
    <row r="23" spans="1:5">
      <c r="A23" s="125" t="s">
        <v>636</v>
      </c>
      <c r="B23" s="126"/>
      <c r="C23" s="126"/>
    </row>
    <row r="24" spans="1:5">
      <c r="A24" s="131" t="s">
        <v>641</v>
      </c>
      <c r="B24" s="132">
        <v>5</v>
      </c>
      <c r="C24" s="132">
        <v>9</v>
      </c>
      <c r="D24" s="132">
        <v>12</v>
      </c>
      <c r="E24" s="129">
        <v>21</v>
      </c>
    </row>
    <row r="25" spans="1:5">
      <c r="A25" s="131" t="s">
        <v>642</v>
      </c>
      <c r="B25" s="132">
        <v>1</v>
      </c>
      <c r="C25" s="132">
        <v>56</v>
      </c>
      <c r="D25" s="132">
        <v>345</v>
      </c>
      <c r="E25" s="129">
        <v>23</v>
      </c>
    </row>
    <row r="26" spans="1:5">
      <c r="A26" s="131" t="s">
        <v>643</v>
      </c>
      <c r="B26" s="132">
        <v>2</v>
      </c>
      <c r="C26" s="132">
        <v>6</v>
      </c>
      <c r="D26" s="132">
        <v>23</v>
      </c>
      <c r="E26" s="129">
        <v>34</v>
      </c>
    </row>
    <row r="27" spans="1:5">
      <c r="A27" s="131" t="s">
        <v>644</v>
      </c>
      <c r="B27" s="132">
        <v>4</v>
      </c>
      <c r="C27" s="132">
        <v>12</v>
      </c>
      <c r="D27" s="132">
        <v>547</v>
      </c>
      <c r="E27" s="132">
        <v>12</v>
      </c>
    </row>
    <row r="28" spans="1:5">
      <c r="A28" s="131" t="s">
        <v>1</v>
      </c>
      <c r="B28" s="132">
        <f>SUM(B24:B27)</f>
        <v>12</v>
      </c>
      <c r="C28" s="132">
        <f>C24+C25+C26+C27</f>
        <v>83</v>
      </c>
      <c r="D28" s="132">
        <f>SUM(D24,D25,D26,D27)</f>
        <v>927</v>
      </c>
      <c r="E28" s="132">
        <f>SUM(E24:E25,E26:E27)</f>
        <v>90</v>
      </c>
    </row>
    <row r="29" spans="1:5" ht="39.75" customHeight="1">
      <c r="A29" s="130" t="s">
        <v>217</v>
      </c>
      <c r="B29" s="134" t="s">
        <v>645</v>
      </c>
      <c r="C29" s="134" t="s">
        <v>646</v>
      </c>
      <c r="D29" s="134" t="s">
        <v>647</v>
      </c>
      <c r="E29" s="134" t="s">
        <v>648</v>
      </c>
    </row>
    <row r="30" spans="1:5">
      <c r="A30" s="126"/>
      <c r="B30" s="126"/>
      <c r="C30" s="126"/>
      <c r="D30" s="126"/>
      <c r="E30" s="126"/>
    </row>
    <row r="31" spans="1:5" ht="15.75">
      <c r="A31" s="73" t="s">
        <v>100</v>
      </c>
      <c r="B31" s="126"/>
      <c r="C31" s="126"/>
    </row>
    <row r="32" spans="1:5">
      <c r="A32" s="125" t="s">
        <v>649</v>
      </c>
      <c r="B32" s="126"/>
      <c r="C32" s="126"/>
    </row>
    <row r="33" spans="1:10">
      <c r="A33" s="245" t="s">
        <v>651</v>
      </c>
      <c r="B33" s="245"/>
      <c r="C33" s="245"/>
      <c r="D33" s="128" t="s">
        <v>1</v>
      </c>
      <c r="E33" s="229" t="s">
        <v>217</v>
      </c>
      <c r="F33" s="229"/>
    </row>
    <row r="34" spans="1:10">
      <c r="A34" s="154">
        <v>5</v>
      </c>
      <c r="B34" s="126"/>
      <c r="C34" s="154">
        <v>3</v>
      </c>
      <c r="D34" s="132">
        <f>SUM(A34,A36,C34,C36,B35:B36)</f>
        <v>16</v>
      </c>
      <c r="E34" s="133" t="s">
        <v>650</v>
      </c>
      <c r="F34" s="132"/>
    </row>
    <row r="35" spans="1:10">
      <c r="A35" s="126"/>
      <c r="B35" s="132">
        <v>1</v>
      </c>
      <c r="C35" s="126"/>
    </row>
    <row r="36" spans="1:10">
      <c r="A36" s="132">
        <v>1</v>
      </c>
      <c r="B36" s="132">
        <v>2</v>
      </c>
      <c r="C36" s="132">
        <v>4</v>
      </c>
    </row>
    <row r="37" spans="1:10">
      <c r="A37" s="126"/>
      <c r="B37" s="126"/>
      <c r="C37" s="126"/>
    </row>
    <row r="38" spans="1:10" ht="15.75">
      <c r="A38" s="73" t="s">
        <v>156</v>
      </c>
      <c r="B38" s="126"/>
      <c r="C38" s="126"/>
    </row>
    <row r="39" spans="1:10">
      <c r="A39" s="277" t="s">
        <v>652</v>
      </c>
      <c r="B39" s="277"/>
      <c r="C39" s="277"/>
      <c r="D39" s="277"/>
      <c r="E39" s="277"/>
      <c r="F39" s="277"/>
      <c r="G39" s="277"/>
      <c r="H39" s="277"/>
      <c r="I39" s="277"/>
      <c r="J39" s="277"/>
    </row>
    <row r="40" spans="1:10">
      <c r="A40" s="277"/>
      <c r="B40" s="277"/>
      <c r="C40" s="277"/>
      <c r="D40" s="277"/>
      <c r="E40" s="277"/>
      <c r="F40" s="277"/>
      <c r="G40" s="277"/>
      <c r="H40" s="277"/>
      <c r="I40" s="277"/>
      <c r="J40" s="277"/>
    </row>
    <row r="41" spans="1:10">
      <c r="A41" s="126"/>
      <c r="B41" s="126"/>
      <c r="C41" s="126"/>
    </row>
    <row r="42" spans="1:10" ht="15.75">
      <c r="A42" s="73" t="s">
        <v>454</v>
      </c>
    </row>
    <row r="43" spans="1:10">
      <c r="A43" t="s">
        <v>653</v>
      </c>
    </row>
    <row r="44" spans="1:10">
      <c r="A44" s="245" t="s">
        <v>651</v>
      </c>
      <c r="B44" s="245"/>
      <c r="C44" s="245"/>
      <c r="D44" s="128" t="s">
        <v>49</v>
      </c>
    </row>
    <row r="45" spans="1:10">
      <c r="A45" s="132">
        <v>1</v>
      </c>
      <c r="B45" s="72"/>
      <c r="C45" s="72"/>
      <c r="D45" s="86"/>
    </row>
    <row r="46" spans="1:10">
      <c r="A46" s="132">
        <v>100</v>
      </c>
      <c r="B46" s="72"/>
      <c r="C46" s="132">
        <v>500</v>
      </c>
    </row>
    <row r="47" spans="1:10">
      <c r="A47" s="72"/>
      <c r="B47" s="132">
        <v>200</v>
      </c>
      <c r="C47" s="72"/>
    </row>
    <row r="50" spans="1:10" ht="15.75">
      <c r="A50" s="73" t="s">
        <v>455</v>
      </c>
    </row>
    <row r="51" spans="1:10">
      <c r="A51" s="227" t="s">
        <v>662</v>
      </c>
      <c r="B51" s="227"/>
      <c r="C51" s="227"/>
      <c r="D51" s="227"/>
      <c r="E51" s="227"/>
      <c r="F51" s="227"/>
      <c r="G51" s="227"/>
      <c r="H51" s="227"/>
      <c r="I51" s="227"/>
      <c r="J51" s="227"/>
    </row>
    <row r="52" spans="1:10">
      <c r="A52" s="227"/>
      <c r="B52" s="227"/>
      <c r="C52" s="227"/>
      <c r="D52" s="227"/>
      <c r="E52" s="227"/>
      <c r="F52" s="227"/>
      <c r="G52" s="227"/>
      <c r="H52" s="227"/>
      <c r="I52" s="227"/>
      <c r="J52" s="227"/>
    </row>
    <row r="53" spans="1:10" ht="30">
      <c r="A53" s="130" t="s">
        <v>656</v>
      </c>
      <c r="B53" s="137" t="s">
        <v>305</v>
      </c>
      <c r="C53" s="137" t="s">
        <v>637</v>
      </c>
      <c r="D53" s="137" t="s">
        <v>654</v>
      </c>
      <c r="E53" s="137" t="s">
        <v>655</v>
      </c>
      <c r="F53" s="155" t="s">
        <v>49</v>
      </c>
    </row>
    <row r="54" spans="1:10">
      <c r="A54" s="137" t="s">
        <v>657</v>
      </c>
      <c r="B54" s="136">
        <v>5</v>
      </c>
      <c r="C54" s="136">
        <v>1</v>
      </c>
      <c r="D54" s="136">
        <v>2</v>
      </c>
      <c r="E54" s="136">
        <v>4</v>
      </c>
      <c r="F54" s="132">
        <f>IF(B54&gt;1,SUM(B54:E54),0)</f>
        <v>12</v>
      </c>
      <c r="G54" s="150" t="s">
        <v>663</v>
      </c>
    </row>
    <row r="55" spans="1:10">
      <c r="A55" s="137" t="s">
        <v>658</v>
      </c>
      <c r="B55" s="136">
        <v>9</v>
      </c>
      <c r="C55" s="136">
        <v>56</v>
      </c>
      <c r="D55" s="136">
        <v>6</v>
      </c>
      <c r="E55" s="136">
        <v>12</v>
      </c>
      <c r="F55" s="132">
        <f>IF(B55&gt;1,SUM(B55:E55),0)</f>
        <v>83</v>
      </c>
    </row>
    <row r="56" spans="1:10">
      <c r="A56" s="137" t="s">
        <v>659</v>
      </c>
      <c r="B56" s="136">
        <v>12</v>
      </c>
      <c r="C56" s="136">
        <v>345</v>
      </c>
      <c r="D56" s="136">
        <v>23</v>
      </c>
      <c r="E56" s="136">
        <v>547</v>
      </c>
      <c r="F56" s="222">
        <f t="shared" ref="F56:F58" si="0">IF(B56&gt;1,SUM(B56:E56),0)</f>
        <v>927</v>
      </c>
    </row>
    <row r="57" spans="1:10">
      <c r="A57" s="137" t="s">
        <v>660</v>
      </c>
      <c r="B57" s="136">
        <v>84.3</v>
      </c>
      <c r="C57" s="136">
        <v>59.8</v>
      </c>
      <c r="D57" s="136">
        <v>80.900000000000006</v>
      </c>
      <c r="E57" s="136">
        <v>80.5</v>
      </c>
      <c r="F57" s="222">
        <f t="shared" si="0"/>
        <v>305.5</v>
      </c>
    </row>
    <row r="58" spans="1:10">
      <c r="A58" s="137" t="s">
        <v>661</v>
      </c>
      <c r="B58" s="136">
        <v>9.8000000000000007</v>
      </c>
      <c r="C58" s="136">
        <v>0.2</v>
      </c>
      <c r="D58" s="136">
        <v>38</v>
      </c>
      <c r="E58" s="136">
        <v>80.900000000000006</v>
      </c>
      <c r="F58" s="222">
        <f t="shared" si="0"/>
        <v>128.9</v>
      </c>
    </row>
    <row r="61" spans="1:10" ht="15.75">
      <c r="A61" s="73" t="s">
        <v>664</v>
      </c>
    </row>
    <row r="62" spans="1:10">
      <c r="A62" s="227" t="s">
        <v>665</v>
      </c>
      <c r="B62" s="227"/>
      <c r="C62" s="227"/>
      <c r="D62" s="227"/>
      <c r="E62" s="227"/>
      <c r="F62" s="227"/>
      <c r="G62" s="227"/>
      <c r="H62" s="227"/>
      <c r="I62" s="227"/>
      <c r="J62" s="227"/>
    </row>
    <row r="63" spans="1:10">
      <c r="A63" s="227"/>
      <c r="B63" s="227"/>
      <c r="C63" s="227"/>
      <c r="D63" s="227"/>
      <c r="E63" s="227"/>
      <c r="F63" s="227"/>
      <c r="G63" s="227"/>
      <c r="H63" s="227"/>
      <c r="I63" s="227"/>
      <c r="J63" s="227"/>
    </row>
    <row r="64" spans="1:10" ht="30">
      <c r="A64" s="130" t="s">
        <v>666</v>
      </c>
      <c r="B64" s="130" t="s">
        <v>667</v>
      </c>
      <c r="C64" s="137" t="s">
        <v>305</v>
      </c>
      <c r="D64" s="137" t="s">
        <v>637</v>
      </c>
      <c r="E64" s="137" t="s">
        <v>654</v>
      </c>
      <c r="F64" s="137" t="s">
        <v>655</v>
      </c>
      <c r="G64" s="155" t="s">
        <v>49</v>
      </c>
    </row>
    <row r="65" spans="1:10">
      <c r="A65" s="137" t="s">
        <v>657</v>
      </c>
      <c r="B65" s="137" t="s">
        <v>668</v>
      </c>
      <c r="C65" s="136">
        <v>5</v>
      </c>
      <c r="D65" s="136">
        <v>1</v>
      </c>
      <c r="E65" s="136">
        <v>2</v>
      </c>
      <c r="F65" s="136">
        <v>4</v>
      </c>
      <c r="G65" s="132">
        <f>IF(AND(C65&gt;1,E65&gt;=2),SUM(C65:F65),0)</f>
        <v>12</v>
      </c>
      <c r="H65" s="150" t="s">
        <v>672</v>
      </c>
    </row>
    <row r="66" spans="1:10">
      <c r="A66" s="137" t="s">
        <v>658</v>
      </c>
      <c r="B66" s="137" t="s">
        <v>669</v>
      </c>
      <c r="C66" s="136">
        <v>9</v>
      </c>
      <c r="D66" s="136">
        <v>56</v>
      </c>
      <c r="E66" s="136">
        <v>6</v>
      </c>
      <c r="F66" s="136">
        <v>12</v>
      </c>
      <c r="G66" s="222">
        <f t="shared" ref="G66:G69" si="1">IF(AND(C66&gt;1,E66&gt;=2),SUM(C66:F66),0)</f>
        <v>83</v>
      </c>
    </row>
    <row r="67" spans="1:10">
      <c r="A67" s="137" t="s">
        <v>659</v>
      </c>
      <c r="B67" s="137" t="s">
        <v>670</v>
      </c>
      <c r="C67" s="136">
        <v>12</v>
      </c>
      <c r="D67" s="136">
        <v>345</v>
      </c>
      <c r="E67" s="136">
        <v>23</v>
      </c>
      <c r="F67" s="136">
        <v>547</v>
      </c>
      <c r="G67" s="222">
        <f t="shared" si="1"/>
        <v>927</v>
      </c>
    </row>
    <row r="68" spans="1:10">
      <c r="A68" s="137" t="s">
        <v>660</v>
      </c>
      <c r="B68" s="137" t="s">
        <v>671</v>
      </c>
      <c r="C68" s="136">
        <v>84.3</v>
      </c>
      <c r="D68" s="136">
        <v>59.8</v>
      </c>
      <c r="E68" s="136">
        <v>80.900000000000006</v>
      </c>
      <c r="F68" s="136">
        <v>80.5</v>
      </c>
      <c r="G68" s="222">
        <f t="shared" si="1"/>
        <v>305.5</v>
      </c>
    </row>
    <row r="69" spans="1:10">
      <c r="A69" s="137" t="s">
        <v>661</v>
      </c>
      <c r="B69" s="137" t="s">
        <v>673</v>
      </c>
      <c r="C69" s="136">
        <v>9.8000000000000007</v>
      </c>
      <c r="D69" s="136">
        <v>0.2</v>
      </c>
      <c r="E69" s="136">
        <v>38</v>
      </c>
      <c r="F69" s="136">
        <v>80.900000000000006</v>
      </c>
      <c r="G69" s="222">
        <f t="shared" si="1"/>
        <v>128.9</v>
      </c>
    </row>
    <row r="72" spans="1:10" ht="15.75">
      <c r="A72" s="73" t="s">
        <v>674</v>
      </c>
    </row>
    <row r="73" spans="1:10">
      <c r="A73" s="227" t="s">
        <v>675</v>
      </c>
      <c r="B73" s="227"/>
      <c r="C73" s="227"/>
      <c r="D73" s="227"/>
      <c r="E73" s="227"/>
      <c r="F73" s="227"/>
      <c r="G73" s="227"/>
      <c r="H73" s="227"/>
      <c r="I73" s="227"/>
      <c r="J73" s="227"/>
    </row>
    <row r="74" spans="1:10">
      <c r="A74" s="227"/>
      <c r="B74" s="227"/>
      <c r="C74" s="227"/>
      <c r="D74" s="227"/>
      <c r="E74" s="227"/>
      <c r="F74" s="227"/>
      <c r="G74" s="227"/>
      <c r="H74" s="227"/>
      <c r="I74" s="227"/>
      <c r="J74" s="227"/>
    </row>
    <row r="75" spans="1:10" ht="30">
      <c r="A75" s="130" t="s">
        <v>666</v>
      </c>
      <c r="B75" s="130" t="s">
        <v>667</v>
      </c>
      <c r="C75" s="137" t="s">
        <v>305</v>
      </c>
      <c r="D75" s="137" t="s">
        <v>637</v>
      </c>
      <c r="E75" s="137" t="s">
        <v>654</v>
      </c>
      <c r="F75" s="137" t="s">
        <v>655</v>
      </c>
      <c r="G75" s="155" t="s">
        <v>49</v>
      </c>
    </row>
    <row r="76" spans="1:10">
      <c r="A76" s="137" t="s">
        <v>657</v>
      </c>
      <c r="B76" s="137" t="s">
        <v>668</v>
      </c>
      <c r="C76" s="136">
        <v>5</v>
      </c>
      <c r="D76" s="136">
        <v>1</v>
      </c>
      <c r="E76" s="136">
        <v>2</v>
      </c>
      <c r="F76" s="136">
        <v>4</v>
      </c>
      <c r="G76" s="132">
        <f>IF(OR(C76&gt;1,E76&gt;=2),SUM(C76:F76),0)</f>
        <v>12</v>
      </c>
      <c r="H76" s="150" t="s">
        <v>676</v>
      </c>
    </row>
    <row r="77" spans="1:10">
      <c r="A77" s="137" t="s">
        <v>658</v>
      </c>
      <c r="B77" s="137" t="s">
        <v>669</v>
      </c>
      <c r="C77" s="136">
        <v>9</v>
      </c>
      <c r="D77" s="136">
        <v>56</v>
      </c>
      <c r="E77" s="136">
        <v>6</v>
      </c>
      <c r="F77" s="136">
        <v>12</v>
      </c>
      <c r="G77" s="222">
        <f t="shared" ref="G77:G80" si="2">IF(OR(C77&gt;1,E77&gt;=2),SUM(C77:F77),0)</f>
        <v>83</v>
      </c>
    </row>
    <row r="78" spans="1:10">
      <c r="A78" s="137" t="s">
        <v>659</v>
      </c>
      <c r="B78" s="137" t="s">
        <v>670</v>
      </c>
      <c r="C78" s="136">
        <v>12</v>
      </c>
      <c r="D78" s="136">
        <v>345</v>
      </c>
      <c r="E78" s="136">
        <v>23</v>
      </c>
      <c r="F78" s="136">
        <v>547</v>
      </c>
      <c r="G78" s="222">
        <f t="shared" si="2"/>
        <v>927</v>
      </c>
    </row>
    <row r="79" spans="1:10">
      <c r="A79" s="137" t="s">
        <v>660</v>
      </c>
      <c r="B79" s="137" t="s">
        <v>671</v>
      </c>
      <c r="C79" s="136">
        <v>84.3</v>
      </c>
      <c r="D79" s="136">
        <v>59.8</v>
      </c>
      <c r="E79" s="136">
        <v>80.900000000000006</v>
      </c>
      <c r="F79" s="136">
        <v>80.5</v>
      </c>
      <c r="G79" s="222">
        <f t="shared" si="2"/>
        <v>305.5</v>
      </c>
    </row>
    <row r="80" spans="1:10">
      <c r="A80" s="137" t="s">
        <v>661</v>
      </c>
      <c r="B80" s="137" t="s">
        <v>673</v>
      </c>
      <c r="C80" s="136">
        <v>9.8000000000000007</v>
      </c>
      <c r="D80" s="136">
        <v>0.2</v>
      </c>
      <c r="E80" s="136">
        <v>38</v>
      </c>
      <c r="F80" s="136">
        <v>80.900000000000006</v>
      </c>
      <c r="G80" s="222">
        <f t="shared" si="2"/>
        <v>128.9</v>
      </c>
    </row>
  </sheetData>
  <mergeCells count="9">
    <mergeCell ref="A1:B1"/>
    <mergeCell ref="A4:I4"/>
    <mergeCell ref="A51:J52"/>
    <mergeCell ref="A62:J63"/>
    <mergeCell ref="A73:J74"/>
    <mergeCell ref="E33:F33"/>
    <mergeCell ref="A33:C33"/>
    <mergeCell ref="A39:J40"/>
    <mergeCell ref="A44:C44"/>
  </mergeCells>
  <pageMargins left="0.7" right="0.7" top="0.75" bottom="0.75" header="0.3" footer="0.3"/>
  <pageSetup orientation="portrait" horizontalDpi="4294967293" verticalDpi="4294967293"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K89"/>
  <sheetViews>
    <sheetView showGridLines="0" topLeftCell="A66" zoomScale="90" zoomScaleNormal="90" workbookViewId="0">
      <selection activeCell="D89" sqref="D89:F89"/>
    </sheetView>
  </sheetViews>
  <sheetFormatPr defaultRowHeight="15"/>
  <cols>
    <col min="1" max="1" width="12.85546875" customWidth="1"/>
    <col min="2" max="2" width="12.7109375" customWidth="1"/>
    <col min="3" max="3" width="11.5703125" customWidth="1"/>
    <col min="4" max="4" width="13.85546875" customWidth="1"/>
    <col min="5" max="5" width="14.7109375"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184</v>
      </c>
      <c r="B1" s="259"/>
      <c r="C1" s="112"/>
      <c r="D1" s="76"/>
      <c r="E1" s="76"/>
      <c r="F1" s="76"/>
      <c r="G1" s="76"/>
      <c r="H1" s="76"/>
      <c r="I1" s="76"/>
      <c r="J1" s="76"/>
      <c r="K1" s="76"/>
    </row>
    <row r="2" spans="1:11" ht="15.75" thickTop="1"/>
    <row r="3" spans="1:11" ht="18.75">
      <c r="A3" s="74" t="s">
        <v>203</v>
      </c>
    </row>
    <row r="4" spans="1:11" ht="15" customHeight="1">
      <c r="A4" s="260" t="s">
        <v>677</v>
      </c>
      <c r="B4" s="260"/>
      <c r="C4" s="260"/>
      <c r="D4" s="260"/>
      <c r="E4" s="260"/>
      <c r="F4" s="260"/>
      <c r="G4" s="260"/>
      <c r="H4" s="260"/>
      <c r="I4" s="260"/>
    </row>
    <row r="5" spans="1:11">
      <c r="A5" s="135"/>
      <c r="B5" s="135"/>
      <c r="C5" s="135"/>
      <c r="D5" s="135"/>
      <c r="E5" s="135"/>
      <c r="F5" s="135"/>
      <c r="G5" s="135"/>
      <c r="H5" s="135"/>
      <c r="I5" s="135"/>
    </row>
    <row r="6" spans="1:11" ht="18.75">
      <c r="A6" s="74" t="s">
        <v>24</v>
      </c>
    </row>
    <row r="7" spans="1:11" ht="15.75">
      <c r="A7" s="80" t="s">
        <v>678</v>
      </c>
    </row>
    <row r="9" spans="1:11" ht="15.75">
      <c r="A9" s="73" t="s">
        <v>679</v>
      </c>
    </row>
    <row r="10" spans="1:11">
      <c r="A10" t="s">
        <v>680</v>
      </c>
    </row>
    <row r="11" spans="1:11">
      <c r="A11" s="149"/>
    </row>
    <row r="12" spans="1:11" ht="15.75">
      <c r="A12" s="73" t="s">
        <v>681</v>
      </c>
    </row>
    <row r="13" spans="1:11">
      <c r="A13" t="s">
        <v>682</v>
      </c>
    </row>
    <row r="14" spans="1:11">
      <c r="A14" s="149"/>
    </row>
    <row r="15" spans="1:11" ht="15.75">
      <c r="A15" s="73" t="s">
        <v>683</v>
      </c>
    </row>
    <row r="16" spans="1:11">
      <c r="A16" s="227" t="s">
        <v>684</v>
      </c>
      <c r="B16" s="227"/>
      <c r="C16" s="227"/>
      <c r="D16" s="227"/>
      <c r="E16" s="227"/>
      <c r="F16" s="227"/>
      <c r="G16" s="227"/>
      <c r="H16" s="227"/>
      <c r="I16" s="227"/>
      <c r="J16" s="227"/>
    </row>
    <row r="17" spans="1:10">
      <c r="A17" s="227"/>
      <c r="B17" s="227"/>
      <c r="C17" s="227"/>
      <c r="D17" s="227"/>
      <c r="E17" s="227"/>
      <c r="F17" s="227"/>
      <c r="G17" s="227"/>
      <c r="H17" s="227"/>
      <c r="I17" s="227"/>
      <c r="J17" s="227"/>
    </row>
    <row r="18" spans="1:10">
      <c r="A18" s="149"/>
    </row>
    <row r="19" spans="1:10" ht="15.75">
      <c r="A19" s="73" t="s">
        <v>44</v>
      </c>
    </row>
    <row r="20" spans="1:10">
      <c r="A20" s="125" t="s">
        <v>693</v>
      </c>
    </row>
    <row r="21" spans="1:10">
      <c r="A21" s="131" t="s">
        <v>685</v>
      </c>
      <c r="B21" s="131" t="s">
        <v>686</v>
      </c>
      <c r="C21" s="128" t="s">
        <v>224</v>
      </c>
      <c r="D21" s="128" t="s">
        <v>697</v>
      </c>
      <c r="E21" s="128" t="s">
        <v>227</v>
      </c>
    </row>
    <row r="22" spans="1:10">
      <c r="A22" s="140" t="s">
        <v>220</v>
      </c>
      <c r="B22" s="140" t="s">
        <v>690</v>
      </c>
      <c r="C22" s="143" t="s">
        <v>225</v>
      </c>
      <c r="D22" s="107">
        <v>42736</v>
      </c>
      <c r="E22" s="156">
        <v>40000</v>
      </c>
    </row>
    <row r="23" spans="1:10">
      <c r="A23" s="140" t="s">
        <v>221</v>
      </c>
      <c r="B23" s="140" t="s">
        <v>691</v>
      </c>
      <c r="C23" s="143" t="s">
        <v>225</v>
      </c>
      <c r="D23" s="107">
        <v>42705</v>
      </c>
      <c r="E23" s="156">
        <v>75000</v>
      </c>
    </row>
    <row r="24" spans="1:10">
      <c r="A24" s="140" t="s">
        <v>222</v>
      </c>
      <c r="B24" s="140" t="s">
        <v>153</v>
      </c>
      <c r="C24" s="143" t="s">
        <v>225</v>
      </c>
      <c r="D24" s="107">
        <v>42705</v>
      </c>
      <c r="E24" s="156">
        <v>30000</v>
      </c>
    </row>
    <row r="25" spans="1:10">
      <c r="A25" s="140" t="s">
        <v>223</v>
      </c>
      <c r="B25" s="132" t="s">
        <v>691</v>
      </c>
      <c r="C25" s="132" t="s">
        <v>225</v>
      </c>
      <c r="D25" s="107">
        <v>42675</v>
      </c>
      <c r="E25" s="157">
        <v>80000</v>
      </c>
    </row>
    <row r="26" spans="1:10">
      <c r="A26" s="140" t="s">
        <v>375</v>
      </c>
      <c r="B26" s="132" t="s">
        <v>690</v>
      </c>
      <c r="C26" s="132" t="s">
        <v>226</v>
      </c>
      <c r="D26" s="107">
        <v>42644</v>
      </c>
      <c r="E26" s="157">
        <v>35000</v>
      </c>
    </row>
    <row r="27" spans="1:10">
      <c r="A27" s="140" t="s">
        <v>376</v>
      </c>
      <c r="B27" s="132" t="s">
        <v>153</v>
      </c>
      <c r="C27" s="132" t="s">
        <v>226</v>
      </c>
      <c r="D27" s="107">
        <v>42675</v>
      </c>
      <c r="E27" s="157">
        <v>25000</v>
      </c>
    </row>
    <row r="28" spans="1:10">
      <c r="A28" s="140" t="s">
        <v>377</v>
      </c>
      <c r="B28" s="132" t="s">
        <v>691</v>
      </c>
      <c r="C28" s="132" t="s">
        <v>226</v>
      </c>
      <c r="D28" s="107">
        <v>42644</v>
      </c>
      <c r="E28" s="157">
        <v>60000</v>
      </c>
    </row>
    <row r="29" spans="1:10">
      <c r="A29" s="140" t="s">
        <v>687</v>
      </c>
      <c r="B29" s="132" t="s">
        <v>153</v>
      </c>
      <c r="C29" s="132" t="s">
        <v>226</v>
      </c>
      <c r="D29" s="107">
        <v>42675</v>
      </c>
      <c r="E29" s="157">
        <v>20000</v>
      </c>
    </row>
    <row r="30" spans="1:10">
      <c r="A30" s="140" t="s">
        <v>688</v>
      </c>
      <c r="B30" s="134" t="s">
        <v>692</v>
      </c>
      <c r="C30" s="132" t="s">
        <v>226</v>
      </c>
      <c r="D30" s="107">
        <v>42644</v>
      </c>
      <c r="E30" s="158">
        <v>40000</v>
      </c>
    </row>
    <row r="31" spans="1:10">
      <c r="A31" s="140" t="s">
        <v>689</v>
      </c>
      <c r="B31" s="134" t="s">
        <v>692</v>
      </c>
      <c r="C31" s="132" t="s">
        <v>226</v>
      </c>
      <c r="D31" s="107">
        <v>42644</v>
      </c>
      <c r="E31" s="158">
        <v>38000</v>
      </c>
    </row>
    <row r="32" spans="1:10" ht="15.75">
      <c r="A32" s="73"/>
      <c r="B32" s="126"/>
      <c r="C32" s="126"/>
    </row>
    <row r="33" spans="1:6" ht="15.75">
      <c r="A33" s="73"/>
      <c r="B33" s="126"/>
      <c r="C33" s="128" t="s">
        <v>1</v>
      </c>
      <c r="D33" s="278" t="s">
        <v>217</v>
      </c>
      <c r="E33" s="278"/>
      <c r="F33" s="278"/>
    </row>
    <row r="34" spans="1:6">
      <c r="A34" s="279" t="s">
        <v>694</v>
      </c>
      <c r="B34" s="279"/>
      <c r="C34" s="158">
        <f>SUMIF(B22:B31,"Analytics",E22:E31)</f>
        <v>215000</v>
      </c>
      <c r="D34" s="281" t="s">
        <v>695</v>
      </c>
      <c r="E34" s="281"/>
      <c r="F34" s="281"/>
    </row>
    <row r="35" spans="1:6">
      <c r="A35" s="279" t="s">
        <v>694</v>
      </c>
      <c r="B35" s="279"/>
      <c r="C35" s="158">
        <f>SUMIF(B22:B31,"IT",E22:E31)</f>
        <v>78000</v>
      </c>
      <c r="D35" s="281" t="s">
        <v>696</v>
      </c>
      <c r="E35" s="281"/>
      <c r="F35" s="281"/>
    </row>
    <row r="36" spans="1:6" ht="15.75">
      <c r="A36" s="73"/>
      <c r="B36" s="126"/>
      <c r="C36" s="126"/>
    </row>
    <row r="37" spans="1:6">
      <c r="A37" s="126"/>
      <c r="B37" s="126"/>
      <c r="C37" s="126"/>
    </row>
    <row r="38" spans="1:6" ht="15.75">
      <c r="A38" s="73" t="s">
        <v>78</v>
      </c>
    </row>
    <row r="39" spans="1:6">
      <c r="A39" s="125" t="s">
        <v>698</v>
      </c>
    </row>
    <row r="40" spans="1:6">
      <c r="A40" s="131" t="s">
        <v>685</v>
      </c>
      <c r="B40" s="131" t="s">
        <v>686</v>
      </c>
      <c r="C40" s="128" t="s">
        <v>224</v>
      </c>
      <c r="D40" s="128" t="s">
        <v>697</v>
      </c>
      <c r="E40" s="128" t="s">
        <v>227</v>
      </c>
    </row>
    <row r="41" spans="1:6">
      <c r="A41" s="140" t="s">
        <v>220</v>
      </c>
      <c r="B41" s="140" t="s">
        <v>690</v>
      </c>
      <c r="C41" s="143" t="s">
        <v>225</v>
      </c>
      <c r="D41" s="107">
        <v>42736</v>
      </c>
      <c r="E41" s="156">
        <v>40000</v>
      </c>
    </row>
    <row r="42" spans="1:6">
      <c r="A42" s="140" t="s">
        <v>221</v>
      </c>
      <c r="B42" s="140" t="s">
        <v>691</v>
      </c>
      <c r="C42" s="143" t="s">
        <v>225</v>
      </c>
      <c r="D42" s="107">
        <v>42705</v>
      </c>
      <c r="E42" s="156">
        <v>75000</v>
      </c>
    </row>
    <row r="43" spans="1:6">
      <c r="A43" s="140" t="s">
        <v>222</v>
      </c>
      <c r="B43" s="140" t="s">
        <v>153</v>
      </c>
      <c r="C43" s="143" t="s">
        <v>225</v>
      </c>
      <c r="D43" s="107">
        <v>42705</v>
      </c>
      <c r="E43" s="156">
        <v>30000</v>
      </c>
    </row>
    <row r="44" spans="1:6">
      <c r="A44" s="140" t="s">
        <v>223</v>
      </c>
      <c r="B44" s="132" t="s">
        <v>691</v>
      </c>
      <c r="C44" s="132" t="s">
        <v>225</v>
      </c>
      <c r="D44" s="107">
        <v>42675</v>
      </c>
      <c r="E44" s="157">
        <v>80000</v>
      </c>
    </row>
    <row r="45" spans="1:6">
      <c r="A45" s="140" t="s">
        <v>375</v>
      </c>
      <c r="B45" s="132" t="s">
        <v>690</v>
      </c>
      <c r="C45" s="132" t="s">
        <v>226</v>
      </c>
      <c r="D45" s="107">
        <v>42644</v>
      </c>
      <c r="E45" s="157">
        <v>35000</v>
      </c>
    </row>
    <row r="46" spans="1:6">
      <c r="A46" s="140" t="s">
        <v>376</v>
      </c>
      <c r="B46" s="132" t="s">
        <v>153</v>
      </c>
      <c r="C46" s="132" t="s">
        <v>226</v>
      </c>
      <c r="D46" s="107">
        <v>42675</v>
      </c>
      <c r="E46" s="157">
        <v>25000</v>
      </c>
    </row>
    <row r="47" spans="1:6">
      <c r="A47" s="140" t="s">
        <v>377</v>
      </c>
      <c r="B47" s="132" t="s">
        <v>691</v>
      </c>
      <c r="C47" s="132" t="s">
        <v>226</v>
      </c>
      <c r="D47" s="107">
        <v>42644</v>
      </c>
      <c r="E47" s="157">
        <v>60000</v>
      </c>
    </row>
    <row r="48" spans="1:6">
      <c r="A48" s="140" t="s">
        <v>687</v>
      </c>
      <c r="B48" s="132" t="s">
        <v>153</v>
      </c>
      <c r="C48" s="132" t="s">
        <v>226</v>
      </c>
      <c r="D48" s="107">
        <v>42675</v>
      </c>
      <c r="E48" s="157">
        <v>20000</v>
      </c>
    </row>
    <row r="49" spans="1:6">
      <c r="A49" s="140" t="s">
        <v>688</v>
      </c>
      <c r="B49" s="134" t="s">
        <v>692</v>
      </c>
      <c r="C49" s="132" t="s">
        <v>226</v>
      </c>
      <c r="D49" s="107">
        <v>42644</v>
      </c>
      <c r="E49" s="158">
        <v>40000</v>
      </c>
    </row>
    <row r="50" spans="1:6">
      <c r="A50" s="140" t="s">
        <v>689</v>
      </c>
      <c r="B50" s="134" t="s">
        <v>692</v>
      </c>
      <c r="C50" s="132" t="s">
        <v>226</v>
      </c>
      <c r="D50" s="107">
        <v>42644</v>
      </c>
      <c r="E50" s="158">
        <v>38000</v>
      </c>
    </row>
    <row r="51" spans="1:6" ht="15.75">
      <c r="A51" s="73"/>
      <c r="B51" s="126"/>
      <c r="C51" s="126"/>
    </row>
    <row r="52" spans="1:6">
      <c r="A52" s="241" t="s">
        <v>700</v>
      </c>
      <c r="B52" s="241"/>
      <c r="C52" s="128" t="s">
        <v>1</v>
      </c>
      <c r="D52" s="278" t="s">
        <v>217</v>
      </c>
      <c r="E52" s="278"/>
      <c r="F52" s="278"/>
    </row>
    <row r="53" spans="1:6">
      <c r="A53" s="241"/>
      <c r="B53" s="241"/>
      <c r="C53" s="158">
        <f>SUMIF(D41:D50,"&lt;01-Dec-2016",E41:E50)</f>
        <v>298000</v>
      </c>
      <c r="D53" s="281" t="s">
        <v>699</v>
      </c>
      <c r="E53" s="281"/>
      <c r="F53" s="281"/>
    </row>
    <row r="54" spans="1:6">
      <c r="A54" s="126"/>
      <c r="B54" s="126"/>
      <c r="C54" s="126"/>
    </row>
    <row r="55" spans="1:6">
      <c r="A55" s="126"/>
      <c r="B55" s="126"/>
      <c r="C55" s="126"/>
    </row>
    <row r="56" spans="1:6" ht="15.75">
      <c r="A56" s="73" t="s">
        <v>454</v>
      </c>
      <c r="B56" s="126"/>
      <c r="C56" s="126"/>
    </row>
    <row r="57" spans="1:6">
      <c r="A57" s="125" t="s">
        <v>701</v>
      </c>
    </row>
    <row r="58" spans="1:6">
      <c r="A58" s="131" t="s">
        <v>685</v>
      </c>
      <c r="B58" s="131" t="s">
        <v>686</v>
      </c>
      <c r="C58" s="128" t="s">
        <v>224</v>
      </c>
      <c r="D58" s="128" t="s">
        <v>697</v>
      </c>
      <c r="E58" s="128" t="s">
        <v>227</v>
      </c>
    </row>
    <row r="59" spans="1:6">
      <c r="A59" s="140" t="s">
        <v>220</v>
      </c>
      <c r="B59" s="140" t="s">
        <v>690</v>
      </c>
      <c r="C59" s="143" t="s">
        <v>225</v>
      </c>
      <c r="D59" s="107">
        <v>42736</v>
      </c>
      <c r="E59" s="156">
        <v>40000</v>
      </c>
    </row>
    <row r="60" spans="1:6">
      <c r="A60" s="140" t="s">
        <v>221</v>
      </c>
      <c r="B60" s="140" t="s">
        <v>691</v>
      </c>
      <c r="C60" s="143" t="s">
        <v>225</v>
      </c>
      <c r="D60" s="107">
        <v>42705</v>
      </c>
      <c r="E60" s="156">
        <v>75000</v>
      </c>
    </row>
    <row r="61" spans="1:6">
      <c r="A61" s="140" t="s">
        <v>222</v>
      </c>
      <c r="B61" s="140" t="s">
        <v>153</v>
      </c>
      <c r="C61" s="143" t="s">
        <v>225</v>
      </c>
      <c r="D61" s="107">
        <v>42705</v>
      </c>
      <c r="E61" s="156">
        <v>30000</v>
      </c>
    </row>
    <row r="62" spans="1:6">
      <c r="A62" s="140" t="s">
        <v>223</v>
      </c>
      <c r="B62" s="132" t="s">
        <v>691</v>
      </c>
      <c r="C62" s="132" t="s">
        <v>225</v>
      </c>
      <c r="D62" s="107">
        <v>42675</v>
      </c>
      <c r="E62" s="157">
        <v>80000</v>
      </c>
    </row>
    <row r="63" spans="1:6">
      <c r="A63" s="140" t="s">
        <v>375</v>
      </c>
      <c r="B63" s="132" t="s">
        <v>690</v>
      </c>
      <c r="C63" s="132" t="s">
        <v>226</v>
      </c>
      <c r="D63" s="107">
        <v>42644</v>
      </c>
      <c r="E63" s="157">
        <v>35000</v>
      </c>
    </row>
    <row r="64" spans="1:6">
      <c r="A64" s="140" t="s">
        <v>376</v>
      </c>
      <c r="B64" s="132" t="s">
        <v>153</v>
      </c>
      <c r="C64" s="132" t="s">
        <v>226</v>
      </c>
      <c r="D64" s="107">
        <v>42675</v>
      </c>
      <c r="E64" s="157">
        <v>25000</v>
      </c>
    </row>
    <row r="65" spans="1:6">
      <c r="A65" s="140" t="s">
        <v>377</v>
      </c>
      <c r="B65" s="132" t="s">
        <v>691</v>
      </c>
      <c r="C65" s="132" t="s">
        <v>226</v>
      </c>
      <c r="D65" s="107">
        <v>42644</v>
      </c>
      <c r="E65" s="157">
        <v>60000</v>
      </c>
    </row>
    <row r="66" spans="1:6">
      <c r="A66" s="140" t="s">
        <v>687</v>
      </c>
      <c r="B66" s="132" t="s">
        <v>153</v>
      </c>
      <c r="C66" s="132" t="s">
        <v>226</v>
      </c>
      <c r="D66" s="107">
        <v>42675</v>
      </c>
      <c r="E66" s="157">
        <v>20000</v>
      </c>
    </row>
    <row r="67" spans="1:6">
      <c r="A67" s="140" t="s">
        <v>688</v>
      </c>
      <c r="B67" s="134" t="s">
        <v>692</v>
      </c>
      <c r="C67" s="132" t="s">
        <v>226</v>
      </c>
      <c r="D67" s="107">
        <v>42644</v>
      </c>
      <c r="E67" s="158">
        <v>40000</v>
      </c>
    </row>
    <row r="68" spans="1:6">
      <c r="A68" s="140" t="s">
        <v>689</v>
      </c>
      <c r="B68" s="134" t="s">
        <v>692</v>
      </c>
      <c r="C68" s="132" t="s">
        <v>226</v>
      </c>
      <c r="D68" s="107">
        <v>42644</v>
      </c>
      <c r="E68" s="158">
        <v>38000</v>
      </c>
    </row>
    <row r="69" spans="1:6" ht="15.75">
      <c r="A69" s="73"/>
      <c r="B69" s="126"/>
      <c r="C69" s="126"/>
    </row>
    <row r="70" spans="1:6" ht="15.75">
      <c r="A70" s="73"/>
      <c r="B70" s="126"/>
      <c r="C70" s="128" t="s">
        <v>49</v>
      </c>
      <c r="D70" s="278" t="s">
        <v>217</v>
      </c>
      <c r="E70" s="278"/>
      <c r="F70" s="278"/>
    </row>
    <row r="71" spans="1:6">
      <c r="A71" s="279" t="s">
        <v>694</v>
      </c>
      <c r="B71" s="279"/>
      <c r="C71" s="158">
        <v>225000</v>
      </c>
      <c r="D71" s="280">
        <f>SUMIF(C59:C68,"AVP",E59:E68)</f>
        <v>225000</v>
      </c>
      <c r="E71" s="280"/>
      <c r="F71" s="280"/>
    </row>
    <row r="74" spans="1:6" ht="15.75">
      <c r="A74" s="73" t="s">
        <v>455</v>
      </c>
      <c r="B74" s="126"/>
      <c r="C74" s="126"/>
    </row>
    <row r="75" spans="1:6">
      <c r="A75" s="125" t="s">
        <v>702</v>
      </c>
    </row>
    <row r="76" spans="1:6">
      <c r="A76" s="131" t="s">
        <v>685</v>
      </c>
      <c r="B76" s="131" t="s">
        <v>686</v>
      </c>
      <c r="C76" s="128" t="s">
        <v>224</v>
      </c>
      <c r="D76" s="128" t="s">
        <v>697</v>
      </c>
      <c r="E76" s="128" t="s">
        <v>227</v>
      </c>
    </row>
    <row r="77" spans="1:6">
      <c r="A77" s="140" t="s">
        <v>220</v>
      </c>
      <c r="B77" s="140" t="s">
        <v>690</v>
      </c>
      <c r="C77" s="143" t="s">
        <v>225</v>
      </c>
      <c r="D77" s="107">
        <v>42736</v>
      </c>
      <c r="E77" s="156">
        <v>40000</v>
      </c>
    </row>
    <row r="78" spans="1:6">
      <c r="A78" s="140" t="s">
        <v>221</v>
      </c>
      <c r="B78" s="140" t="s">
        <v>691</v>
      </c>
      <c r="C78" s="143" t="s">
        <v>225</v>
      </c>
      <c r="D78" s="107">
        <v>42705</v>
      </c>
      <c r="E78" s="156">
        <v>75000</v>
      </c>
    </row>
    <row r="79" spans="1:6">
      <c r="A79" s="140" t="s">
        <v>222</v>
      </c>
      <c r="B79" s="140" t="s">
        <v>153</v>
      </c>
      <c r="C79" s="143" t="s">
        <v>225</v>
      </c>
      <c r="D79" s="107">
        <v>42705</v>
      </c>
      <c r="E79" s="156">
        <v>30000</v>
      </c>
    </row>
    <row r="80" spans="1:6">
      <c r="A80" s="140" t="s">
        <v>223</v>
      </c>
      <c r="B80" s="132" t="s">
        <v>691</v>
      </c>
      <c r="C80" s="132" t="s">
        <v>225</v>
      </c>
      <c r="D80" s="107">
        <v>42675</v>
      </c>
      <c r="E80" s="157">
        <v>80000</v>
      </c>
    </row>
    <row r="81" spans="1:6">
      <c r="A81" s="140" t="s">
        <v>375</v>
      </c>
      <c r="B81" s="132" t="s">
        <v>690</v>
      </c>
      <c r="C81" s="132" t="s">
        <v>226</v>
      </c>
      <c r="D81" s="107">
        <v>42644</v>
      </c>
      <c r="E81" s="157">
        <v>35000</v>
      </c>
    </row>
    <row r="82" spans="1:6">
      <c r="A82" s="140" t="s">
        <v>376</v>
      </c>
      <c r="B82" s="132" t="s">
        <v>153</v>
      </c>
      <c r="C82" s="132" t="s">
        <v>226</v>
      </c>
      <c r="D82" s="107">
        <v>42675</v>
      </c>
      <c r="E82" s="157">
        <v>25000</v>
      </c>
    </row>
    <row r="83" spans="1:6">
      <c r="A83" s="140" t="s">
        <v>377</v>
      </c>
      <c r="B83" s="132" t="s">
        <v>691</v>
      </c>
      <c r="C83" s="132" t="s">
        <v>226</v>
      </c>
      <c r="D83" s="107">
        <v>42644</v>
      </c>
      <c r="E83" s="157">
        <v>60000</v>
      </c>
    </row>
    <row r="84" spans="1:6">
      <c r="A84" s="140" t="s">
        <v>687</v>
      </c>
      <c r="B84" s="132" t="s">
        <v>153</v>
      </c>
      <c r="C84" s="132" t="s">
        <v>226</v>
      </c>
      <c r="D84" s="107">
        <v>42675</v>
      </c>
      <c r="E84" s="157">
        <v>20000</v>
      </c>
    </row>
    <row r="85" spans="1:6">
      <c r="A85" s="140" t="s">
        <v>688</v>
      </c>
      <c r="B85" s="134" t="s">
        <v>692</v>
      </c>
      <c r="C85" s="132" t="s">
        <v>226</v>
      </c>
      <c r="D85" s="107">
        <v>42644</v>
      </c>
      <c r="E85" s="158">
        <v>40000</v>
      </c>
    </row>
    <row r="86" spans="1:6">
      <c r="A86" s="140" t="s">
        <v>689</v>
      </c>
      <c r="B86" s="134" t="s">
        <v>692</v>
      </c>
      <c r="C86" s="132" t="s">
        <v>226</v>
      </c>
      <c r="D86" s="107">
        <v>42644</v>
      </c>
      <c r="E86" s="158">
        <v>38000</v>
      </c>
    </row>
    <row r="87" spans="1:6" ht="15.75">
      <c r="A87" s="73"/>
      <c r="B87" s="126"/>
      <c r="C87" s="126"/>
    </row>
    <row r="88" spans="1:6" ht="15.75">
      <c r="A88" s="73"/>
      <c r="B88" s="126"/>
      <c r="C88" s="128" t="s">
        <v>49</v>
      </c>
      <c r="D88" s="278" t="s">
        <v>217</v>
      </c>
      <c r="E88" s="278"/>
      <c r="F88" s="278"/>
    </row>
    <row r="89" spans="1:6">
      <c r="A89" s="279" t="s">
        <v>694</v>
      </c>
      <c r="B89" s="279"/>
      <c r="C89" s="158">
        <v>173000</v>
      </c>
      <c r="D89" s="280">
        <f>SUMIF(D77:D86,"01-Oct-2016",E77:E86)</f>
        <v>173000</v>
      </c>
      <c r="E89" s="280"/>
      <c r="F89" s="280"/>
    </row>
  </sheetData>
  <mergeCells count="17">
    <mergeCell ref="A1:B1"/>
    <mergeCell ref="A4:I4"/>
    <mergeCell ref="D52:F52"/>
    <mergeCell ref="D53:F53"/>
    <mergeCell ref="A16:J17"/>
    <mergeCell ref="A34:B34"/>
    <mergeCell ref="A35:B35"/>
    <mergeCell ref="D33:F33"/>
    <mergeCell ref="D34:F34"/>
    <mergeCell ref="D35:F35"/>
    <mergeCell ref="D88:F88"/>
    <mergeCell ref="A89:B89"/>
    <mergeCell ref="D89:F89"/>
    <mergeCell ref="A52:B53"/>
    <mergeCell ref="D70:F70"/>
    <mergeCell ref="A71:B71"/>
    <mergeCell ref="D71:F71"/>
  </mergeCells>
  <pageMargins left="0.7" right="0.7" top="0.75" bottom="0.75" header="0.3" footer="0.3"/>
  <pageSetup orientation="portrait" horizontalDpi="4294967293" verticalDpi="4294967293"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K70"/>
  <sheetViews>
    <sheetView showGridLines="0" topLeftCell="A36" zoomScale="90" zoomScaleNormal="90" workbookViewId="0">
      <selection activeCell="E68" sqref="E68"/>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185</v>
      </c>
      <c r="B1" s="259"/>
      <c r="C1" s="259"/>
      <c r="D1" s="76"/>
      <c r="E1" s="76"/>
      <c r="F1" s="76"/>
      <c r="G1" s="76"/>
      <c r="H1" s="76"/>
      <c r="I1" s="76"/>
      <c r="J1" s="76"/>
      <c r="K1" s="76"/>
    </row>
    <row r="2" spans="1:11" ht="15.75" thickTop="1"/>
    <row r="3" spans="1:11" ht="18.75">
      <c r="A3" s="74" t="s">
        <v>203</v>
      </c>
    </row>
    <row r="4" spans="1:11" ht="15" customHeight="1">
      <c r="A4" s="260" t="s">
        <v>703</v>
      </c>
      <c r="B4" s="260"/>
      <c r="C4" s="260"/>
      <c r="D4" s="260"/>
      <c r="E4" s="260"/>
      <c r="F4" s="260"/>
      <c r="G4" s="260"/>
      <c r="H4" s="260"/>
      <c r="I4" s="260"/>
    </row>
    <row r="5" spans="1:11">
      <c r="A5" s="135"/>
      <c r="B5" s="135"/>
      <c r="C5" s="135"/>
      <c r="D5" s="135"/>
      <c r="E5" s="135"/>
      <c r="F5" s="135"/>
      <c r="G5" s="135"/>
      <c r="H5" s="135"/>
      <c r="I5" s="135"/>
    </row>
    <row r="6" spans="1:11" ht="18.75">
      <c r="A6" s="74" t="s">
        <v>24</v>
      </c>
    </row>
    <row r="7" spans="1:11" ht="15.75">
      <c r="A7" s="80" t="s">
        <v>704</v>
      </c>
    </row>
    <row r="9" spans="1:11" ht="15.75">
      <c r="A9" s="73" t="s">
        <v>705</v>
      </c>
    </row>
    <row r="10" spans="1:11">
      <c r="A10" t="s">
        <v>706</v>
      </c>
    </row>
    <row r="11" spans="1:11">
      <c r="A11" s="149"/>
    </row>
    <row r="12" spans="1:11" ht="15.75">
      <c r="A12" s="73" t="s">
        <v>707</v>
      </c>
    </row>
    <row r="13" spans="1:11">
      <c r="A13" t="s">
        <v>708</v>
      </c>
    </row>
    <row r="14" spans="1:11">
      <c r="A14" s="149"/>
    </row>
    <row r="15" spans="1:11" ht="15.75">
      <c r="A15" s="73" t="s">
        <v>44</v>
      </c>
    </row>
    <row r="16" spans="1:11">
      <c r="A16" s="125" t="s">
        <v>709</v>
      </c>
    </row>
    <row r="17" spans="1:6">
      <c r="A17" s="131" t="s">
        <v>710</v>
      </c>
      <c r="B17" s="131" t="s">
        <v>719</v>
      </c>
      <c r="C17" s="128" t="s">
        <v>89</v>
      </c>
      <c r="D17" s="128" t="s">
        <v>717</v>
      </c>
    </row>
    <row r="18" spans="1:6">
      <c r="A18" s="140" t="s">
        <v>711</v>
      </c>
      <c r="B18" s="132" t="s">
        <v>260</v>
      </c>
      <c r="C18" s="160">
        <v>1.5</v>
      </c>
      <c r="D18" s="159">
        <v>100</v>
      </c>
    </row>
    <row r="19" spans="1:6">
      <c r="A19" s="140" t="s">
        <v>712</v>
      </c>
      <c r="B19" s="132" t="s">
        <v>259</v>
      </c>
      <c r="C19" s="160">
        <v>1.99</v>
      </c>
      <c r="D19" s="159">
        <v>150</v>
      </c>
    </row>
    <row r="20" spans="1:6">
      <c r="A20" s="140" t="s">
        <v>713</v>
      </c>
      <c r="B20" s="132" t="s">
        <v>259</v>
      </c>
      <c r="C20" s="160">
        <v>2.0499999999999998</v>
      </c>
      <c r="D20" s="159">
        <v>200</v>
      </c>
    </row>
    <row r="21" spans="1:6">
      <c r="A21" s="140" t="s">
        <v>714</v>
      </c>
      <c r="B21" s="132" t="s">
        <v>260</v>
      </c>
      <c r="C21" s="161">
        <v>3.5</v>
      </c>
      <c r="D21" s="159">
        <v>50</v>
      </c>
    </row>
    <row r="22" spans="1:6">
      <c r="A22" s="140" t="s">
        <v>715</v>
      </c>
      <c r="B22" s="132" t="s">
        <v>259</v>
      </c>
      <c r="C22" s="161">
        <v>4.9000000000000004</v>
      </c>
      <c r="D22" s="159">
        <v>400</v>
      </c>
    </row>
    <row r="23" spans="1:6">
      <c r="A23" s="140" t="s">
        <v>716</v>
      </c>
      <c r="B23" s="132" t="s">
        <v>260</v>
      </c>
      <c r="C23" s="161">
        <v>5</v>
      </c>
      <c r="D23" s="159">
        <v>1000</v>
      </c>
    </row>
    <row r="24" spans="1:6" ht="15.75">
      <c r="A24" s="73"/>
      <c r="B24" s="126"/>
      <c r="C24" s="126"/>
    </row>
    <row r="25" spans="1:6" ht="15.75">
      <c r="A25" s="73"/>
      <c r="B25" s="126"/>
      <c r="C25" s="128" t="s">
        <v>1</v>
      </c>
      <c r="D25" s="278" t="s">
        <v>217</v>
      </c>
      <c r="E25" s="278"/>
      <c r="F25" s="278"/>
    </row>
    <row r="26" spans="1:6">
      <c r="A26" s="282" t="s">
        <v>718</v>
      </c>
      <c r="B26" s="282"/>
      <c r="C26" s="158">
        <f>SUMPRODUCT(C18:C23,D18:D23)</f>
        <v>7993.5</v>
      </c>
      <c r="D26" s="281" t="s">
        <v>720</v>
      </c>
      <c r="E26" s="281"/>
      <c r="F26" s="281"/>
    </row>
    <row r="27" spans="1:6" ht="15.75">
      <c r="A27" s="73"/>
      <c r="B27" s="126"/>
      <c r="C27" s="126"/>
    </row>
    <row r="29" spans="1:6" ht="15.75">
      <c r="A29" s="73" t="s">
        <v>78</v>
      </c>
    </row>
    <row r="30" spans="1:6">
      <c r="A30" s="125" t="s">
        <v>721</v>
      </c>
    </row>
    <row r="31" spans="1:6">
      <c r="A31" s="131" t="s">
        <v>710</v>
      </c>
      <c r="B31" s="131" t="s">
        <v>719</v>
      </c>
      <c r="C31" s="128" t="s">
        <v>718</v>
      </c>
    </row>
    <row r="32" spans="1:6">
      <c r="A32" s="140" t="s">
        <v>711</v>
      </c>
      <c r="B32" s="132" t="s">
        <v>260</v>
      </c>
      <c r="C32" s="162">
        <v>150</v>
      </c>
    </row>
    <row r="33" spans="1:6">
      <c r="A33" s="140" t="s">
        <v>712</v>
      </c>
      <c r="B33" s="132" t="s">
        <v>259</v>
      </c>
      <c r="C33" s="162">
        <v>298.5</v>
      </c>
    </row>
    <row r="34" spans="1:6">
      <c r="A34" s="140" t="s">
        <v>713</v>
      </c>
      <c r="B34" s="132" t="s">
        <v>259</v>
      </c>
      <c r="C34" s="162">
        <v>409.99999999999994</v>
      </c>
    </row>
    <row r="35" spans="1:6">
      <c r="A35" s="140" t="s">
        <v>714</v>
      </c>
      <c r="B35" s="132" t="s">
        <v>260</v>
      </c>
      <c r="C35" s="163">
        <v>175</v>
      </c>
    </row>
    <row r="36" spans="1:6">
      <c r="A36" s="140" t="s">
        <v>715</v>
      </c>
      <c r="B36" s="132" t="s">
        <v>259</v>
      </c>
      <c r="C36" s="163">
        <v>1960.0000000000002</v>
      </c>
    </row>
    <row r="37" spans="1:6">
      <c r="A37" s="140" t="s">
        <v>716</v>
      </c>
      <c r="B37" s="132" t="s">
        <v>260</v>
      </c>
      <c r="C37" s="163">
        <v>5000</v>
      </c>
    </row>
    <row r="38" spans="1:6" ht="15.75">
      <c r="A38" s="73"/>
      <c r="B38" s="126"/>
      <c r="C38" s="126"/>
    </row>
    <row r="39" spans="1:6" ht="15.75">
      <c r="A39" s="73"/>
      <c r="B39" s="126"/>
      <c r="C39" s="128" t="s">
        <v>1</v>
      </c>
      <c r="D39" s="278" t="s">
        <v>217</v>
      </c>
      <c r="E39" s="278"/>
      <c r="F39" s="278"/>
    </row>
    <row r="40" spans="1:6">
      <c r="A40" s="282" t="s">
        <v>722</v>
      </c>
      <c r="B40" s="282"/>
      <c r="C40" s="164">
        <f>SUMPRODUCT(--(B32:B37="YES"))</f>
        <v>3</v>
      </c>
      <c r="D40" s="281" t="s">
        <v>724</v>
      </c>
      <c r="E40" s="281"/>
      <c r="F40" s="281"/>
    </row>
    <row r="41" spans="1:6">
      <c r="A41" s="282" t="s">
        <v>723</v>
      </c>
      <c r="B41" s="282"/>
      <c r="C41" s="158">
        <f>SUMPRODUCT(--(B32:B37="YES"),C32:C37)</f>
        <v>2668.5</v>
      </c>
      <c r="D41" s="281" t="s">
        <v>725</v>
      </c>
      <c r="E41" s="281"/>
      <c r="F41" s="281"/>
    </row>
    <row r="44" spans="1:6" ht="15.75">
      <c r="A44" s="73" t="s">
        <v>454</v>
      </c>
    </row>
    <row r="45" spans="1:6">
      <c r="A45" s="125" t="s">
        <v>709</v>
      </c>
    </row>
    <row r="46" spans="1:6">
      <c r="A46" s="131" t="s">
        <v>710</v>
      </c>
      <c r="B46" s="131" t="s">
        <v>719</v>
      </c>
      <c r="C46" s="128" t="s">
        <v>153</v>
      </c>
      <c r="D46" s="128" t="s">
        <v>717</v>
      </c>
    </row>
    <row r="47" spans="1:6">
      <c r="A47" s="140" t="s">
        <v>711</v>
      </c>
      <c r="B47" s="132" t="s">
        <v>260</v>
      </c>
      <c r="C47" s="160">
        <v>3.1</v>
      </c>
      <c r="D47" s="159">
        <v>500</v>
      </c>
    </row>
    <row r="48" spans="1:6">
      <c r="A48" s="140" t="s">
        <v>712</v>
      </c>
      <c r="B48" s="132" t="s">
        <v>259</v>
      </c>
      <c r="C48" s="160">
        <v>2.5</v>
      </c>
      <c r="D48" s="159">
        <v>150</v>
      </c>
    </row>
    <row r="49" spans="1:6">
      <c r="A49" s="140" t="s">
        <v>713</v>
      </c>
      <c r="B49" s="132" t="s">
        <v>259</v>
      </c>
      <c r="C49" s="160">
        <v>10</v>
      </c>
      <c r="D49" s="159">
        <v>100</v>
      </c>
    </row>
    <row r="50" spans="1:6">
      <c r="A50" s="140" t="s">
        <v>714</v>
      </c>
      <c r="B50" s="132" t="s">
        <v>260</v>
      </c>
      <c r="C50" s="161">
        <v>1</v>
      </c>
      <c r="D50" s="159">
        <v>500</v>
      </c>
    </row>
    <row r="51" spans="1:6">
      <c r="A51" s="140" t="s">
        <v>715</v>
      </c>
      <c r="B51" s="132" t="s">
        <v>259</v>
      </c>
      <c r="C51" s="161">
        <v>4</v>
      </c>
      <c r="D51" s="159">
        <v>200</v>
      </c>
    </row>
    <row r="52" spans="1:6">
      <c r="A52" s="140" t="s">
        <v>716</v>
      </c>
      <c r="B52" s="132" t="s">
        <v>260</v>
      </c>
      <c r="C52" s="161">
        <v>2</v>
      </c>
      <c r="D52" s="159">
        <v>2000</v>
      </c>
    </row>
    <row r="53" spans="1:6" ht="15.75">
      <c r="A53" s="73"/>
      <c r="B53" s="126"/>
      <c r="C53" s="126"/>
    </row>
    <row r="54" spans="1:6" ht="15.75">
      <c r="A54" s="73"/>
      <c r="B54" s="126"/>
      <c r="C54" s="128" t="s">
        <v>1</v>
      </c>
      <c r="D54" s="278" t="s">
        <v>217</v>
      </c>
      <c r="E54" s="278"/>
      <c r="F54" s="278"/>
    </row>
    <row r="55" spans="1:6">
      <c r="A55" s="282" t="s">
        <v>726</v>
      </c>
      <c r="B55" s="282"/>
      <c r="C55" s="158">
        <v>8225</v>
      </c>
      <c r="D55" s="314">
        <f>SUMPRODUCT(--(C47:C52),D47:D52)</f>
        <v>8225</v>
      </c>
      <c r="E55" s="314"/>
      <c r="F55" s="314"/>
    </row>
    <row r="56" spans="1:6" ht="15.75">
      <c r="A56" s="73"/>
      <c r="B56" s="126"/>
      <c r="C56" s="126"/>
    </row>
    <row r="58" spans="1:6" ht="15.75">
      <c r="A58" s="73" t="s">
        <v>455</v>
      </c>
    </row>
    <row r="59" spans="1:6">
      <c r="A59" s="125" t="s">
        <v>727</v>
      </c>
    </row>
    <row r="60" spans="1:6">
      <c r="A60" s="131" t="s">
        <v>710</v>
      </c>
      <c r="B60" s="131" t="s">
        <v>719</v>
      </c>
      <c r="C60" s="128" t="s">
        <v>718</v>
      </c>
    </row>
    <row r="61" spans="1:6">
      <c r="A61" s="140" t="s">
        <v>711</v>
      </c>
      <c r="B61" s="132" t="s">
        <v>260</v>
      </c>
      <c r="C61" s="162">
        <v>150</v>
      </c>
    </row>
    <row r="62" spans="1:6">
      <c r="A62" s="140" t="s">
        <v>712</v>
      </c>
      <c r="B62" s="132" t="s">
        <v>259</v>
      </c>
      <c r="C62" s="162">
        <v>298.5</v>
      </c>
    </row>
    <row r="63" spans="1:6">
      <c r="A63" s="140" t="s">
        <v>713</v>
      </c>
      <c r="B63" s="132" t="s">
        <v>259</v>
      </c>
      <c r="C63" s="162">
        <v>409.99999999999994</v>
      </c>
    </row>
    <row r="64" spans="1:6">
      <c r="A64" s="140" t="s">
        <v>714</v>
      </c>
      <c r="B64" s="132" t="s">
        <v>260</v>
      </c>
      <c r="C64" s="163">
        <v>175</v>
      </c>
    </row>
    <row r="65" spans="1:3">
      <c r="A65" s="140" t="s">
        <v>715</v>
      </c>
      <c r="B65" s="132" t="s">
        <v>259</v>
      </c>
      <c r="C65" s="163">
        <v>1960.0000000000002</v>
      </c>
    </row>
    <row r="66" spans="1:3">
      <c r="A66" s="140" t="s">
        <v>716</v>
      </c>
      <c r="B66" s="132" t="s">
        <v>260</v>
      </c>
      <c r="C66" s="163">
        <v>5000</v>
      </c>
    </row>
    <row r="67" spans="1:3" ht="15.75">
      <c r="A67" s="73"/>
      <c r="B67" s="126"/>
      <c r="C67" s="126"/>
    </row>
    <row r="68" spans="1:3" ht="15.75">
      <c r="A68" s="73"/>
      <c r="B68" s="126"/>
      <c r="C68" s="128" t="s">
        <v>1</v>
      </c>
    </row>
    <row r="69" spans="1:3">
      <c r="A69" s="282" t="s">
        <v>722</v>
      </c>
      <c r="B69" s="282"/>
      <c r="C69" s="164">
        <f>SUMPRODUCT(--(B61:B66="YES"))</f>
        <v>3</v>
      </c>
    </row>
    <row r="70" spans="1:3">
      <c r="A70" s="283" t="s">
        <v>728</v>
      </c>
      <c r="B70" s="284"/>
      <c r="C70" s="158">
        <f>SUMPRODUCT(--(B61:B66="YES"),C61:C66)</f>
        <v>2668.5</v>
      </c>
    </row>
  </sheetData>
  <mergeCells count="15">
    <mergeCell ref="A69:B69"/>
    <mergeCell ref="A70:B70"/>
    <mergeCell ref="A1:C1"/>
    <mergeCell ref="D39:F39"/>
    <mergeCell ref="A40:B40"/>
    <mergeCell ref="D40:F40"/>
    <mergeCell ref="A41:B41"/>
    <mergeCell ref="D41:F41"/>
    <mergeCell ref="D54:F54"/>
    <mergeCell ref="A55:B55"/>
    <mergeCell ref="D55:F55"/>
    <mergeCell ref="A4:I4"/>
    <mergeCell ref="D25:F25"/>
    <mergeCell ref="A26:B26"/>
    <mergeCell ref="D26:F26"/>
  </mergeCells>
  <pageMargins left="0.7" right="0.7" top="0.75" bottom="0.75" header="0.3" footer="0.3"/>
  <pageSetup orientation="portrait" horizontalDpi="4294967293" verticalDpi="4294967293"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K21"/>
  <sheetViews>
    <sheetView showGridLines="0" zoomScale="90" zoomScaleNormal="90" workbookViewId="0">
      <selection sqref="A1:B1"/>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186</v>
      </c>
      <c r="B1" s="259"/>
      <c r="C1" s="112"/>
      <c r="D1" s="76"/>
      <c r="E1" s="76"/>
      <c r="F1" s="76"/>
      <c r="G1" s="76"/>
      <c r="H1" s="76"/>
      <c r="I1" s="76"/>
      <c r="J1" s="76"/>
      <c r="K1" s="76"/>
    </row>
    <row r="2" spans="1:11" ht="15.75" thickTop="1"/>
    <row r="3" spans="1:11" ht="18.75">
      <c r="A3" s="74" t="s">
        <v>203</v>
      </c>
    </row>
    <row r="4" spans="1:11" ht="15" customHeight="1">
      <c r="A4" s="260" t="s">
        <v>729</v>
      </c>
      <c r="B4" s="260"/>
      <c r="C4" s="260"/>
      <c r="D4" s="260"/>
      <c r="E4" s="260"/>
      <c r="F4" s="260"/>
      <c r="G4" s="260"/>
      <c r="H4" s="260"/>
      <c r="I4" s="260"/>
    </row>
    <row r="5" spans="1:11">
      <c r="A5" s="147"/>
      <c r="B5" s="147"/>
      <c r="C5" s="147"/>
      <c r="D5" s="147"/>
      <c r="E5" s="147"/>
      <c r="F5" s="147"/>
      <c r="G5" s="147"/>
      <c r="H5" s="147"/>
      <c r="I5" s="147"/>
    </row>
    <row r="6" spans="1:11" ht="18.75">
      <c r="A6" s="74" t="s">
        <v>24</v>
      </c>
    </row>
    <row r="7" spans="1:11" ht="15.75">
      <c r="A7" s="80" t="s">
        <v>730</v>
      </c>
    </row>
    <row r="9" spans="1:11" ht="15.75">
      <c r="A9" s="73" t="s">
        <v>731</v>
      </c>
    </row>
    <row r="10" spans="1:11">
      <c r="A10" t="s">
        <v>732</v>
      </c>
    </row>
    <row r="11" spans="1:11">
      <c r="A11" s="149"/>
    </row>
    <row r="12" spans="1:11" ht="15.75">
      <c r="A12" s="73" t="s">
        <v>48</v>
      </c>
    </row>
    <row r="13" spans="1:11">
      <c r="A13" s="125" t="s">
        <v>733</v>
      </c>
    </row>
    <row r="14" spans="1:11">
      <c r="A14" s="145" t="s">
        <v>734</v>
      </c>
      <c r="B14" s="144" t="s">
        <v>217</v>
      </c>
    </row>
    <row r="15" spans="1:11">
      <c r="A15" s="146">
        <f ca="1">RAND()</f>
        <v>0.73232160978674576</v>
      </c>
      <c r="B15" s="159" t="s">
        <v>730</v>
      </c>
    </row>
    <row r="16" spans="1:11">
      <c r="A16" s="146">
        <f t="shared" ref="A16:A20" ca="1" si="0">RAND()</f>
        <v>0.68468519267707351</v>
      </c>
      <c r="B16" s="159" t="s">
        <v>730</v>
      </c>
    </row>
    <row r="17" spans="1:3">
      <c r="A17" s="146">
        <f t="shared" ca="1" si="0"/>
        <v>0.38833473773344918</v>
      </c>
      <c r="B17" s="159" t="s">
        <v>730</v>
      </c>
    </row>
    <row r="18" spans="1:3">
      <c r="A18" s="146">
        <f t="shared" ca="1" si="0"/>
        <v>0.17465110059084032</v>
      </c>
      <c r="B18" s="159" t="s">
        <v>730</v>
      </c>
    </row>
    <row r="19" spans="1:3">
      <c r="A19" s="146">
        <f t="shared" ca="1" si="0"/>
        <v>0.34841762498192563</v>
      </c>
      <c r="B19" s="159" t="s">
        <v>730</v>
      </c>
    </row>
    <row r="20" spans="1:3">
      <c r="A20" s="146">
        <f t="shared" ca="1" si="0"/>
        <v>0.16550692511349763</v>
      </c>
      <c r="B20" s="159" t="s">
        <v>730</v>
      </c>
    </row>
    <row r="21" spans="1:3" ht="15.75">
      <c r="A21" s="73"/>
      <c r="B21" s="126"/>
      <c r="C21" s="126"/>
    </row>
  </sheetData>
  <mergeCells count="2">
    <mergeCell ref="A1:B1"/>
    <mergeCell ref="A4:I4"/>
  </mergeCells>
  <pageMargins left="0.7" right="0.7" top="0.75" bottom="0.75" header="0.3" footer="0.3"/>
  <pageSetup orientation="portrait" horizontalDpi="4294967293" verticalDpi="4294967293"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K24"/>
  <sheetViews>
    <sheetView showGridLines="0" zoomScale="90" zoomScaleNormal="90" workbookViewId="0">
      <selection activeCell="D34" sqref="D34"/>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735</v>
      </c>
      <c r="B1" s="259"/>
      <c r="C1" s="259"/>
      <c r="D1" s="76"/>
      <c r="E1" s="76"/>
      <c r="F1" s="76"/>
      <c r="G1" s="76"/>
      <c r="H1" s="76"/>
      <c r="I1" s="76"/>
      <c r="J1" s="76"/>
      <c r="K1" s="76"/>
    </row>
    <row r="2" spans="1:11" ht="15.75" thickTop="1"/>
    <row r="3" spans="1:11" ht="18.75">
      <c r="A3" s="74" t="s">
        <v>203</v>
      </c>
    </row>
    <row r="4" spans="1:11" ht="15" customHeight="1">
      <c r="A4" s="260" t="s">
        <v>736</v>
      </c>
      <c r="B4" s="260"/>
      <c r="C4" s="260"/>
      <c r="D4" s="260"/>
      <c r="E4" s="260"/>
      <c r="F4" s="260"/>
      <c r="G4" s="260"/>
      <c r="H4" s="260"/>
      <c r="I4" s="260"/>
    </row>
    <row r="5" spans="1:11">
      <c r="A5" s="147"/>
      <c r="B5" s="147"/>
      <c r="C5" s="147"/>
      <c r="D5" s="147"/>
      <c r="E5" s="147"/>
      <c r="F5" s="147"/>
      <c r="G5" s="147"/>
      <c r="H5" s="147"/>
      <c r="I5" s="147"/>
    </row>
    <row r="6" spans="1:11" ht="18.75">
      <c r="A6" s="74" t="s">
        <v>24</v>
      </c>
    </row>
    <row r="7" spans="1:11" ht="15.75">
      <c r="A7" s="80" t="s">
        <v>737</v>
      </c>
    </row>
    <row r="9" spans="1:11" ht="15.75">
      <c r="A9" s="73" t="s">
        <v>738</v>
      </c>
    </row>
    <row r="10" spans="1:11">
      <c r="A10" t="s">
        <v>740</v>
      </c>
    </row>
    <row r="11" spans="1:11">
      <c r="A11" s="149"/>
    </row>
    <row r="12" spans="1:11" ht="15.75">
      <c r="A12" s="73" t="s">
        <v>739</v>
      </c>
    </row>
    <row r="13" spans="1:11">
      <c r="A13" t="s">
        <v>741</v>
      </c>
    </row>
    <row r="14" spans="1:11">
      <c r="A14" s="149"/>
    </row>
    <row r="15" spans="1:11" ht="15.75">
      <c r="A15" s="73" t="s">
        <v>48</v>
      </c>
    </row>
    <row r="16" spans="1:11">
      <c r="A16" s="125" t="s">
        <v>733</v>
      </c>
    </row>
    <row r="17" spans="1:3">
      <c r="A17" s="145" t="s">
        <v>734</v>
      </c>
      <c r="B17" s="229" t="s">
        <v>217</v>
      </c>
      <c r="C17" s="229"/>
    </row>
    <row r="18" spans="1:3">
      <c r="A18" s="146">
        <f ca="1">RANDBETWEEN(0,100000)</f>
        <v>40731</v>
      </c>
      <c r="B18" s="233" t="s">
        <v>742</v>
      </c>
      <c r="C18" s="233"/>
    </row>
    <row r="19" spans="1:3">
      <c r="A19" s="146">
        <f t="shared" ref="A19:A20" ca="1" si="0">RANDBETWEEN(0,100000)</f>
        <v>45612</v>
      </c>
      <c r="B19" s="233" t="s">
        <v>742</v>
      </c>
      <c r="C19" s="233"/>
    </row>
    <row r="20" spans="1:3">
      <c r="A20" s="146">
        <f t="shared" ca="1" si="0"/>
        <v>7162</v>
      </c>
      <c r="B20" s="233" t="s">
        <v>742</v>
      </c>
      <c r="C20" s="233"/>
    </row>
    <row r="21" spans="1:3">
      <c r="A21" s="146">
        <f ca="1">RANDBETWEEN(0,5000)</f>
        <v>816</v>
      </c>
      <c r="B21" s="233" t="s">
        <v>743</v>
      </c>
      <c r="C21" s="233"/>
    </row>
    <row r="22" spans="1:3">
      <c r="A22" s="146">
        <f t="shared" ref="A22:A23" ca="1" si="1">RANDBETWEEN(0,5000)</f>
        <v>2677</v>
      </c>
      <c r="B22" s="233" t="s">
        <v>743</v>
      </c>
      <c r="C22" s="233"/>
    </row>
    <row r="23" spans="1:3">
      <c r="A23" s="146">
        <f t="shared" ca="1" si="1"/>
        <v>4270</v>
      </c>
      <c r="B23" s="233" t="s">
        <v>743</v>
      </c>
      <c r="C23" s="233"/>
    </row>
    <row r="24" spans="1:3" ht="15.75">
      <c r="A24" s="73"/>
      <c r="B24" s="126"/>
      <c r="C24" s="126"/>
    </row>
  </sheetData>
  <mergeCells count="9">
    <mergeCell ref="B21:C21"/>
    <mergeCell ref="B22:C22"/>
    <mergeCell ref="B23:C23"/>
    <mergeCell ref="A4:I4"/>
    <mergeCell ref="A1:C1"/>
    <mergeCell ref="B17:C17"/>
    <mergeCell ref="B18:C18"/>
    <mergeCell ref="B19:C19"/>
    <mergeCell ref="B20:C20"/>
  </mergeCells>
  <pageMargins left="0.7" right="0.7" top="0.75" bottom="0.75" header="0.3" footer="0.3"/>
  <pageSetup orientation="portrait" horizontalDpi="4294967293" verticalDpi="4294967293"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30"/>
  <sheetViews>
    <sheetView showGridLines="0" zoomScale="90" zoomScaleNormal="90" workbookViewId="0">
      <selection activeCell="C30" sqref="C30"/>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bestFit="1" customWidth="1"/>
    <col min="8" max="8" width="10.140625" customWidth="1"/>
    <col min="9" max="9" width="12.140625" customWidth="1"/>
    <col min="10" max="10" width="11.28515625" customWidth="1"/>
    <col min="11" max="11" width="10.140625" customWidth="1"/>
  </cols>
  <sheetData>
    <row r="1" spans="1:11" ht="32.25" thickBot="1">
      <c r="A1" s="259" t="s">
        <v>187</v>
      </c>
      <c r="B1" s="259"/>
      <c r="C1" s="112"/>
      <c r="D1" s="76"/>
      <c r="E1" s="76"/>
      <c r="F1" s="76"/>
      <c r="G1" s="76"/>
      <c r="H1" s="76"/>
      <c r="I1" s="76"/>
      <c r="J1" s="76"/>
      <c r="K1" s="76"/>
    </row>
    <row r="2" spans="1:11" ht="15.75" thickTop="1"/>
    <row r="3" spans="1:11" ht="18.75">
      <c r="A3" s="74" t="s">
        <v>203</v>
      </c>
    </row>
    <row r="4" spans="1:11" ht="15" customHeight="1">
      <c r="A4" s="260" t="s">
        <v>744</v>
      </c>
      <c r="B4" s="260"/>
      <c r="C4" s="260"/>
      <c r="D4" s="260"/>
      <c r="E4" s="260"/>
      <c r="F4" s="260"/>
      <c r="G4" s="260"/>
      <c r="H4" s="260"/>
      <c r="I4" s="260"/>
    </row>
    <row r="5" spans="1:11">
      <c r="A5" s="147"/>
      <c r="B5" s="147"/>
      <c r="C5" s="147"/>
      <c r="D5" s="147"/>
      <c r="E5" s="147"/>
      <c r="F5" s="147"/>
      <c r="G5" s="147"/>
      <c r="H5" s="147"/>
      <c r="I5" s="147"/>
    </row>
    <row r="6" spans="1:11" ht="18.75">
      <c r="A6" s="74" t="s">
        <v>24</v>
      </c>
    </row>
    <row r="7" spans="1:11" ht="15.75">
      <c r="A7" s="80" t="s">
        <v>745</v>
      </c>
    </row>
    <row r="9" spans="1:11" ht="15.75">
      <c r="A9" s="73" t="s">
        <v>143</v>
      </c>
    </row>
    <row r="10" spans="1:11">
      <c r="A10" t="s">
        <v>746</v>
      </c>
    </row>
    <row r="11" spans="1:11">
      <c r="A11" s="149"/>
    </row>
    <row r="12" spans="1:11" ht="15.75">
      <c r="A12" s="73" t="s">
        <v>747</v>
      </c>
    </row>
    <row r="13" spans="1:11">
      <c r="A13" t="s">
        <v>748</v>
      </c>
    </row>
    <row r="14" spans="1:11">
      <c r="A14" s="149"/>
    </row>
    <row r="15" spans="1:11" ht="15.75">
      <c r="A15" s="73" t="s">
        <v>48</v>
      </c>
    </row>
    <row r="16" spans="1:11">
      <c r="A16" s="125" t="s">
        <v>749</v>
      </c>
    </row>
    <row r="17" spans="1:4">
      <c r="A17" s="166" t="s">
        <v>750</v>
      </c>
      <c r="B17" s="167" t="s">
        <v>751</v>
      </c>
      <c r="C17" s="245" t="s">
        <v>217</v>
      </c>
      <c r="D17" s="245"/>
    </row>
    <row r="18" spans="1:4">
      <c r="A18" s="172">
        <v>45.397610567982859</v>
      </c>
      <c r="B18" s="179">
        <f>ROUND(A18,2)</f>
        <v>45.4</v>
      </c>
      <c r="C18" s="285" t="s">
        <v>752</v>
      </c>
      <c r="D18" s="285"/>
    </row>
    <row r="19" spans="1:4">
      <c r="A19" s="172">
        <v>50.654626487009899</v>
      </c>
      <c r="B19" s="179">
        <f>ROUND(A19,1)</f>
        <v>50.7</v>
      </c>
      <c r="C19" s="285" t="s">
        <v>753</v>
      </c>
      <c r="D19" s="285"/>
    </row>
    <row r="20" spans="1:4">
      <c r="A20" s="172">
        <v>85.413909259984749</v>
      </c>
      <c r="B20" s="180">
        <f>ROUND(A20,3)</f>
        <v>85.414000000000001</v>
      </c>
      <c r="C20" s="285" t="s">
        <v>754</v>
      </c>
      <c r="D20" s="285"/>
    </row>
    <row r="21" spans="1:4">
      <c r="A21" s="172">
        <v>33.589347121750201</v>
      </c>
      <c r="B21" s="181">
        <f>ROUND(A21,0)</f>
        <v>34</v>
      </c>
      <c r="C21" s="285" t="s">
        <v>755</v>
      </c>
      <c r="D21" s="285"/>
    </row>
    <row r="22" spans="1:4" ht="15.75">
      <c r="A22" s="73"/>
      <c r="B22" s="126"/>
      <c r="C22" s="126"/>
    </row>
    <row r="23" spans="1:4" ht="15.75">
      <c r="A23" s="73" t="s">
        <v>235</v>
      </c>
    </row>
    <row r="24" spans="1:4">
      <c r="A24" s="125" t="s">
        <v>749</v>
      </c>
    </row>
    <row r="25" spans="1:4">
      <c r="A25" s="145" t="s">
        <v>710</v>
      </c>
      <c r="B25" s="144" t="s">
        <v>49</v>
      </c>
      <c r="C25" s="245" t="s">
        <v>217</v>
      </c>
      <c r="D25" s="245"/>
    </row>
    <row r="26" spans="1:4">
      <c r="A26" s="183">
        <v>81.373000000000005</v>
      </c>
      <c r="B26" s="184">
        <v>81.37</v>
      </c>
      <c r="C26" s="315">
        <f>ROUND(A26,2)</f>
        <v>81.37</v>
      </c>
      <c r="D26" s="315"/>
    </row>
    <row r="27" spans="1:4">
      <c r="A27" s="182">
        <v>7.9596999999999998</v>
      </c>
      <c r="B27" s="184">
        <v>8</v>
      </c>
      <c r="C27" s="315">
        <f>ROUND(A27,0)</f>
        <v>8</v>
      </c>
      <c r="D27" s="315"/>
    </row>
    <row r="28" spans="1:4">
      <c r="A28" s="182">
        <v>521.25779999999997</v>
      </c>
      <c r="B28" s="184">
        <v>521.25800000000004</v>
      </c>
      <c r="C28" s="315">
        <f>ROUND(A28,2)</f>
        <v>521.26</v>
      </c>
      <c r="D28" s="315"/>
    </row>
    <row r="29" spans="1:4">
      <c r="A29" s="183">
        <v>4.6985000000000001</v>
      </c>
      <c r="B29" s="184">
        <v>4.7</v>
      </c>
      <c r="C29" s="315">
        <f>ROUND(A29,2)</f>
        <v>4.7</v>
      </c>
      <c r="D29" s="315"/>
    </row>
    <row r="30" spans="1:4" ht="15.75">
      <c r="A30" s="73"/>
      <c r="B30" s="126"/>
      <c r="C30" s="126"/>
    </row>
  </sheetData>
  <mergeCells count="12">
    <mergeCell ref="A1:B1"/>
    <mergeCell ref="A4:I4"/>
    <mergeCell ref="C18:D18"/>
    <mergeCell ref="C26:D26"/>
    <mergeCell ref="C27:D27"/>
    <mergeCell ref="C28:D28"/>
    <mergeCell ref="C29:D29"/>
    <mergeCell ref="C17:D17"/>
    <mergeCell ref="C19:D19"/>
    <mergeCell ref="C20:D20"/>
    <mergeCell ref="C21:D21"/>
    <mergeCell ref="C25:D25"/>
  </mergeCells>
  <pageMargins left="0.7" right="0.7" top="0.75" bottom="0.75" header="0.3" footer="0.3"/>
  <pageSetup orientation="portrait" horizontalDpi="4294967293" verticalDpi="4294967293"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K27"/>
  <sheetViews>
    <sheetView showGridLines="0" zoomScale="90" zoomScaleNormal="90" workbookViewId="0">
      <selection activeCell="B23" sqref="B23:B26"/>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0.140625" customWidth="1"/>
    <col min="9" max="9" width="12.140625" customWidth="1"/>
    <col min="10" max="10" width="11.28515625" customWidth="1"/>
    <col min="11" max="11" width="10.140625" customWidth="1"/>
  </cols>
  <sheetData>
    <row r="1" spans="1:11" ht="32.25" thickBot="1">
      <c r="A1" s="259" t="s">
        <v>188</v>
      </c>
      <c r="B1" s="259"/>
      <c r="C1" s="112"/>
      <c r="D1" s="76"/>
      <c r="E1" s="76"/>
      <c r="F1" s="76"/>
      <c r="G1" s="76"/>
      <c r="H1" s="76"/>
      <c r="I1" s="76"/>
      <c r="J1" s="76"/>
      <c r="K1" s="76"/>
    </row>
    <row r="2" spans="1:11" ht="15.75" thickTop="1"/>
    <row r="3" spans="1:11" ht="18.75">
      <c r="A3" s="74" t="s">
        <v>203</v>
      </c>
    </row>
    <row r="4" spans="1:11" ht="15" customHeight="1">
      <c r="A4" s="260" t="s">
        <v>859</v>
      </c>
      <c r="B4" s="260"/>
      <c r="C4" s="260"/>
      <c r="D4" s="260"/>
      <c r="E4" s="260"/>
      <c r="F4" s="260"/>
      <c r="G4" s="260"/>
      <c r="H4" s="260"/>
      <c r="I4" s="260"/>
    </row>
    <row r="5" spans="1:11">
      <c r="A5" s="177"/>
      <c r="B5" s="177"/>
      <c r="C5" s="177"/>
      <c r="D5" s="177"/>
      <c r="E5" s="177"/>
      <c r="F5" s="177"/>
      <c r="G5" s="177"/>
      <c r="H5" s="177"/>
      <c r="I5" s="177"/>
    </row>
    <row r="6" spans="1:11" ht="18.75">
      <c r="A6" s="74" t="s">
        <v>24</v>
      </c>
    </row>
    <row r="7" spans="1:11" ht="15.75">
      <c r="A7" s="80" t="s">
        <v>857</v>
      </c>
    </row>
    <row r="9" spans="1:11" ht="15.75">
      <c r="A9" s="73" t="s">
        <v>145</v>
      </c>
    </row>
    <row r="10" spans="1:11">
      <c r="A10" t="s">
        <v>858</v>
      </c>
    </row>
    <row r="11" spans="1:11">
      <c r="A11" s="149"/>
    </row>
    <row r="12" spans="1:11" ht="15.75">
      <c r="A12" s="73" t="s">
        <v>48</v>
      </c>
    </row>
    <row r="13" spans="1:11">
      <c r="A13" s="125" t="s">
        <v>860</v>
      </c>
    </row>
    <row r="14" spans="1:11">
      <c r="A14" s="173" t="s">
        <v>750</v>
      </c>
      <c r="B14" s="175" t="s">
        <v>751</v>
      </c>
      <c r="C14" s="245" t="s">
        <v>217</v>
      </c>
      <c r="D14" s="245"/>
    </row>
    <row r="15" spans="1:11">
      <c r="A15" s="172">
        <v>45.397610567982859</v>
      </c>
      <c r="B15" s="181">
        <f>EVEN(A15)</f>
        <v>46</v>
      </c>
      <c r="C15" s="285" t="s">
        <v>861</v>
      </c>
      <c r="D15" s="285"/>
    </row>
    <row r="16" spans="1:11">
      <c r="A16" s="172">
        <v>-50.654626487009899</v>
      </c>
      <c r="B16" s="181">
        <f t="shared" ref="B16:B18" si="0">EVEN(A16)</f>
        <v>-52</v>
      </c>
      <c r="C16" s="285" t="s">
        <v>862</v>
      </c>
      <c r="D16" s="285"/>
    </row>
    <row r="17" spans="1:4">
      <c r="A17" s="172">
        <v>85.413909259984749</v>
      </c>
      <c r="B17" s="181">
        <f t="shared" si="0"/>
        <v>86</v>
      </c>
      <c r="C17" s="285" t="s">
        <v>863</v>
      </c>
      <c r="D17" s="285"/>
    </row>
    <row r="18" spans="1:4">
      <c r="A18" s="172">
        <v>31.589347121750201</v>
      </c>
      <c r="B18" s="181">
        <f t="shared" si="0"/>
        <v>32</v>
      </c>
      <c r="C18" s="285" t="s">
        <v>864</v>
      </c>
      <c r="D18" s="285"/>
    </row>
    <row r="19" spans="1:4" ht="15.75">
      <c r="A19" s="73"/>
      <c r="B19" s="126"/>
      <c r="C19" s="126"/>
    </row>
    <row r="20" spans="1:4" ht="15.75">
      <c r="A20" s="73" t="s">
        <v>235</v>
      </c>
    </row>
    <row r="21" spans="1:4">
      <c r="A21" s="125" t="s">
        <v>865</v>
      </c>
    </row>
    <row r="22" spans="1:4">
      <c r="A22" s="175" t="s">
        <v>710</v>
      </c>
      <c r="B22" s="173" t="s">
        <v>49</v>
      </c>
    </row>
    <row r="23" spans="1:4">
      <c r="A23" s="178">
        <v>1111.1110000000001</v>
      </c>
      <c r="B23" s="184">
        <f>EVEN(A23)</f>
        <v>1112</v>
      </c>
    </row>
    <row r="24" spans="1:4">
      <c r="A24" s="178">
        <v>95.3</v>
      </c>
      <c r="B24" s="184">
        <f t="shared" ref="B24:B26" si="1">EVEN(A24)</f>
        <v>96</v>
      </c>
    </row>
    <row r="25" spans="1:4">
      <c r="A25" s="178">
        <v>51.5</v>
      </c>
      <c r="B25" s="184">
        <f t="shared" si="1"/>
        <v>52</v>
      </c>
    </row>
    <row r="26" spans="1:4">
      <c r="A26" s="183">
        <v>-4.6985000000000001</v>
      </c>
      <c r="B26" s="184">
        <f t="shared" si="1"/>
        <v>-6</v>
      </c>
    </row>
    <row r="27" spans="1:4" ht="15.75">
      <c r="A27" s="73"/>
      <c r="B27" s="126"/>
      <c r="C27" s="126"/>
    </row>
  </sheetData>
  <mergeCells count="7">
    <mergeCell ref="C18:D18"/>
    <mergeCell ref="A1:B1"/>
    <mergeCell ref="A4:I4"/>
    <mergeCell ref="C14:D14"/>
    <mergeCell ref="C15:D15"/>
    <mergeCell ref="C16:D16"/>
    <mergeCell ref="C17:D17"/>
  </mergeCells>
  <pageMargins left="0.7" right="0.7" top="0.75" bottom="0.75" header="0.3" footer="0.3"/>
  <pageSetup orientation="portrait"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1"/>
  <sheetViews>
    <sheetView showGridLines="0" topLeftCell="A10" zoomScale="90" zoomScaleNormal="90" workbookViewId="0">
      <selection activeCell="E38" sqref="E38"/>
    </sheetView>
  </sheetViews>
  <sheetFormatPr defaultRowHeight="15"/>
  <cols>
    <col min="1" max="1" width="11" customWidth="1"/>
    <col min="2" max="2" width="12.85546875" customWidth="1"/>
    <col min="3" max="3" width="10.140625" customWidth="1"/>
    <col min="4" max="4" width="15.42578125" customWidth="1"/>
    <col min="5" max="5" width="15.85546875" customWidth="1"/>
    <col min="7" max="7" width="10.28515625" customWidth="1"/>
    <col min="10" max="10" width="10.140625" customWidth="1"/>
    <col min="11" max="11" width="11.28515625" customWidth="1"/>
    <col min="12" max="12" width="10.140625" customWidth="1"/>
  </cols>
  <sheetData>
    <row r="1" spans="1:12" ht="32.25" thickBot="1">
      <c r="A1" s="75" t="s">
        <v>0</v>
      </c>
      <c r="B1" s="76"/>
      <c r="C1" s="76"/>
      <c r="D1" s="76"/>
      <c r="E1" s="76"/>
      <c r="F1" s="76"/>
      <c r="G1" s="76"/>
      <c r="H1" s="76"/>
      <c r="I1" s="76"/>
      <c r="J1" s="76"/>
      <c r="K1" s="76"/>
      <c r="L1" s="76"/>
    </row>
    <row r="2" spans="1:12" ht="15.75" thickTop="1"/>
    <row r="3" spans="1:12" ht="18.75">
      <c r="A3" s="74" t="s">
        <v>203</v>
      </c>
    </row>
    <row r="4" spans="1:12" ht="15" customHeight="1">
      <c r="A4" s="227" t="s">
        <v>283</v>
      </c>
      <c r="B4" s="227"/>
      <c r="C4" s="227"/>
      <c r="D4" s="227"/>
      <c r="E4" s="227"/>
      <c r="F4" s="227"/>
      <c r="G4" s="227"/>
      <c r="H4" s="227"/>
      <c r="I4" s="227"/>
      <c r="J4" s="227"/>
    </row>
    <row r="5" spans="1:12">
      <c r="A5" s="227"/>
      <c r="B5" s="227"/>
      <c r="C5" s="227"/>
      <c r="D5" s="227"/>
      <c r="E5" s="227"/>
      <c r="F5" s="227"/>
      <c r="G5" s="227"/>
      <c r="H5" s="227"/>
      <c r="I5" s="227"/>
      <c r="J5" s="227"/>
    </row>
    <row r="6" spans="1:12">
      <c r="A6" s="227"/>
      <c r="B6" s="227"/>
      <c r="C6" s="227"/>
      <c r="D6" s="227"/>
      <c r="E6" s="227"/>
      <c r="F6" s="227"/>
      <c r="G6" s="227"/>
      <c r="H6" s="227"/>
      <c r="I6" s="227"/>
      <c r="J6" s="227"/>
    </row>
    <row r="7" spans="1:12">
      <c r="A7" s="91"/>
      <c r="B7" s="91"/>
      <c r="C7" s="91"/>
      <c r="D7" s="91"/>
      <c r="E7" s="91"/>
      <c r="F7" s="91"/>
      <c r="G7" s="91"/>
      <c r="H7" s="91"/>
      <c r="I7" s="91"/>
      <c r="J7" s="91"/>
    </row>
    <row r="8" spans="1:12" ht="18.75">
      <c r="A8" s="74" t="s">
        <v>24</v>
      </c>
    </row>
    <row r="9" spans="1:12" ht="15.75">
      <c r="A9" s="80" t="s">
        <v>280</v>
      </c>
    </row>
    <row r="11" spans="1:12" ht="15.75">
      <c r="A11" s="73" t="s">
        <v>240</v>
      </c>
    </row>
    <row r="12" spans="1:12">
      <c r="A12" t="s">
        <v>241</v>
      </c>
    </row>
    <row r="14" spans="1:12" ht="15.75">
      <c r="A14" s="73" t="s">
        <v>242</v>
      </c>
    </row>
    <row r="15" spans="1:12">
      <c r="A15" t="s">
        <v>243</v>
      </c>
    </row>
    <row r="17" spans="1:10" ht="15.75">
      <c r="A17" s="73" t="s">
        <v>44</v>
      </c>
    </row>
    <row r="18" spans="1:10">
      <c r="A18" t="s">
        <v>281</v>
      </c>
    </row>
    <row r="19" spans="1:10">
      <c r="A19" s="85" t="s">
        <v>244</v>
      </c>
      <c r="B19" s="85" t="s">
        <v>245</v>
      </c>
      <c r="C19" s="85" t="s">
        <v>49</v>
      </c>
      <c r="D19" s="229" t="s">
        <v>217</v>
      </c>
      <c r="E19" s="229"/>
    </row>
    <row r="20" spans="1:10">
      <c r="A20" s="95">
        <v>1</v>
      </c>
      <c r="B20" s="95">
        <v>2</v>
      </c>
      <c r="C20" s="77" t="b">
        <f>OR(A20&gt;0,B20&gt;0)</f>
        <v>1</v>
      </c>
      <c r="D20" s="234" t="s">
        <v>282</v>
      </c>
      <c r="E20" s="235"/>
    </row>
    <row r="21" spans="1:10">
      <c r="A21" s="95">
        <v>1</v>
      </c>
      <c r="B21" s="95">
        <v>-2</v>
      </c>
      <c r="C21" s="77" t="b">
        <f>OR(A21&gt;0,B21&gt;0)</f>
        <v>1</v>
      </c>
      <c r="D21" s="234" t="s">
        <v>1049</v>
      </c>
      <c r="E21" s="235"/>
    </row>
    <row r="22" spans="1:10">
      <c r="A22" s="95">
        <v>-1</v>
      </c>
      <c r="B22" s="95">
        <v>-2</v>
      </c>
      <c r="C22" s="77" t="b">
        <f>OR(A22&gt;0,B22&gt;0)</f>
        <v>0</v>
      </c>
      <c r="D22" s="234" t="s">
        <v>1050</v>
      </c>
      <c r="E22" s="235"/>
    </row>
    <row r="23" spans="1:10" ht="15.75">
      <c r="A23" s="73"/>
    </row>
    <row r="24" spans="1:10" ht="15.75">
      <c r="A24" s="73" t="s">
        <v>78</v>
      </c>
    </row>
    <row r="25" spans="1:10">
      <c r="A25" s="227" t="s">
        <v>284</v>
      </c>
      <c r="B25" s="227"/>
      <c r="C25" s="227"/>
      <c r="D25" s="227"/>
      <c r="E25" s="227"/>
      <c r="F25" s="227"/>
      <c r="G25" s="227"/>
      <c r="H25" s="227"/>
      <c r="I25" s="227"/>
      <c r="J25" s="227"/>
    </row>
    <row r="26" spans="1:10">
      <c r="A26" s="227"/>
      <c r="B26" s="227"/>
      <c r="C26" s="227"/>
      <c r="D26" s="227"/>
      <c r="E26" s="227"/>
      <c r="F26" s="227"/>
      <c r="G26" s="227"/>
      <c r="H26" s="227"/>
      <c r="I26" s="227"/>
      <c r="J26" s="227"/>
    </row>
    <row r="27" spans="1:10">
      <c r="A27" s="85" t="s">
        <v>207</v>
      </c>
      <c r="B27" s="85" t="s">
        <v>249</v>
      </c>
      <c r="C27" s="92" t="s">
        <v>250</v>
      </c>
      <c r="D27" s="92" t="s">
        <v>253</v>
      </c>
      <c r="E27" s="229" t="s">
        <v>217</v>
      </c>
      <c r="F27" s="229"/>
      <c r="G27" s="229"/>
      <c r="H27" s="229"/>
      <c r="I27" s="229"/>
    </row>
    <row r="28" spans="1:10">
      <c r="A28" s="77" t="s">
        <v>208</v>
      </c>
      <c r="B28" s="77" t="s">
        <v>251</v>
      </c>
      <c r="C28" s="93" t="s">
        <v>251</v>
      </c>
      <c r="D28" s="77" t="str">
        <f>IF(OR(B28="FAIL",C28="FAIL"),"FAIL","PASS")</f>
        <v>PASS</v>
      </c>
      <c r="E28" s="239" t="s">
        <v>285</v>
      </c>
      <c r="F28" s="239"/>
      <c r="G28" s="239"/>
      <c r="H28" s="239"/>
      <c r="I28" s="239"/>
    </row>
    <row r="29" spans="1:10">
      <c r="A29" s="77" t="s">
        <v>209</v>
      </c>
      <c r="B29" s="77" t="s">
        <v>251</v>
      </c>
      <c r="C29" s="93" t="s">
        <v>252</v>
      </c>
      <c r="D29" s="77" t="str">
        <f t="shared" ref="D29:D31" si="0">IF(OR(B29="FAIL",C29="FAIL"),"FAIL","PASS")</f>
        <v>FAIL</v>
      </c>
      <c r="E29" s="239" t="s">
        <v>286</v>
      </c>
      <c r="F29" s="239"/>
      <c r="G29" s="239"/>
      <c r="H29" s="239"/>
      <c r="I29" s="239"/>
    </row>
    <row r="30" spans="1:10">
      <c r="A30" s="77" t="s">
        <v>210</v>
      </c>
      <c r="B30" s="77" t="s">
        <v>252</v>
      </c>
      <c r="C30" s="93" t="s">
        <v>251</v>
      </c>
      <c r="D30" s="77" t="str">
        <f t="shared" si="0"/>
        <v>FAIL</v>
      </c>
      <c r="E30" s="239" t="s">
        <v>287</v>
      </c>
      <c r="F30" s="239"/>
      <c r="G30" s="239"/>
      <c r="H30" s="239"/>
      <c r="I30" s="239"/>
    </row>
    <row r="31" spans="1:10">
      <c r="A31" s="77" t="s">
        <v>211</v>
      </c>
      <c r="B31" s="77" t="s">
        <v>251</v>
      </c>
      <c r="C31" s="93" t="s">
        <v>251</v>
      </c>
      <c r="D31" s="77" t="str">
        <f t="shared" si="0"/>
        <v>PASS</v>
      </c>
      <c r="E31" s="239" t="s">
        <v>288</v>
      </c>
      <c r="F31" s="239"/>
      <c r="G31" s="239"/>
      <c r="H31" s="239"/>
      <c r="I31" s="239"/>
    </row>
    <row r="34" spans="1:10" ht="15.75">
      <c r="A34" s="73" t="s">
        <v>235</v>
      </c>
    </row>
    <row r="35" spans="1:10" ht="15" customHeight="1">
      <c r="A35" s="227" t="s">
        <v>1047</v>
      </c>
      <c r="B35" s="227"/>
      <c r="C35" s="227"/>
      <c r="D35" s="227"/>
      <c r="E35" s="227"/>
      <c r="F35" s="227"/>
      <c r="G35" s="227"/>
      <c r="H35" s="227"/>
      <c r="I35" s="227"/>
      <c r="J35" s="227"/>
    </row>
    <row r="36" spans="1:10">
      <c r="A36" s="227"/>
      <c r="B36" s="227"/>
      <c r="C36" s="227"/>
      <c r="D36" s="227"/>
      <c r="E36" s="227"/>
      <c r="F36" s="227"/>
      <c r="G36" s="227"/>
      <c r="H36" s="227"/>
      <c r="I36" s="227"/>
      <c r="J36" s="227"/>
    </row>
    <row r="37" spans="1:10" ht="37.5" customHeight="1">
      <c r="A37" s="97" t="s">
        <v>219</v>
      </c>
      <c r="B37" s="97" t="s">
        <v>224</v>
      </c>
      <c r="C37" s="97" t="s">
        <v>153</v>
      </c>
      <c r="D37" s="94" t="s">
        <v>258</v>
      </c>
      <c r="E37" s="98" t="s">
        <v>261</v>
      </c>
    </row>
    <row r="38" spans="1:10">
      <c r="A38" s="77" t="s">
        <v>220</v>
      </c>
      <c r="B38" s="77" t="s">
        <v>225</v>
      </c>
      <c r="C38" s="89">
        <v>51</v>
      </c>
      <c r="D38" s="89" t="s">
        <v>259</v>
      </c>
      <c r="E38" s="86" t="str">
        <f>IF(OR(C38&gt;=50,D38="YES"),"YES","NO")</f>
        <v>YES</v>
      </c>
    </row>
    <row r="39" spans="1:10">
      <c r="A39" s="77" t="s">
        <v>221</v>
      </c>
      <c r="B39" s="77" t="s">
        <v>226</v>
      </c>
      <c r="C39" s="89">
        <v>49</v>
      </c>
      <c r="D39" s="89" t="s">
        <v>260</v>
      </c>
      <c r="E39" s="86" t="str">
        <f t="shared" ref="E39:E41" si="1">IF(OR(C39&gt;=50,D39="YES"),"YES","NO")</f>
        <v>NO</v>
      </c>
    </row>
    <row r="40" spans="1:10">
      <c r="A40" s="77" t="s">
        <v>222</v>
      </c>
      <c r="B40" s="77" t="s">
        <v>226</v>
      </c>
      <c r="C40" s="89">
        <v>49</v>
      </c>
      <c r="D40" s="89" t="s">
        <v>259</v>
      </c>
      <c r="E40" s="86" t="str">
        <f t="shared" si="1"/>
        <v>YES</v>
      </c>
    </row>
    <row r="41" spans="1:10">
      <c r="A41" s="77" t="s">
        <v>223</v>
      </c>
      <c r="B41" s="77" t="s">
        <v>226</v>
      </c>
      <c r="C41" s="89">
        <v>75</v>
      </c>
      <c r="D41" s="89" t="s">
        <v>259</v>
      </c>
      <c r="E41" s="86" t="str">
        <f t="shared" si="1"/>
        <v>YES</v>
      </c>
    </row>
  </sheetData>
  <mergeCells count="12">
    <mergeCell ref="A4:J6"/>
    <mergeCell ref="D19:E19"/>
    <mergeCell ref="A25:J26"/>
    <mergeCell ref="E27:I27"/>
    <mergeCell ref="E28:I28"/>
    <mergeCell ref="E29:I29"/>
    <mergeCell ref="E30:I30"/>
    <mergeCell ref="E31:I31"/>
    <mergeCell ref="A35:J36"/>
    <mergeCell ref="D20:E20"/>
    <mergeCell ref="D21:E21"/>
    <mergeCell ref="D22:E22"/>
  </mergeCells>
  <pageMargins left="0.7" right="0.7" top="0.75" bottom="0.75" header="0.3" footer="0.3"/>
  <pageSetup orientation="portrait" horizontalDpi="4294967293" verticalDpi="4294967293"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27"/>
  <sheetViews>
    <sheetView showGridLines="0" zoomScale="90" zoomScaleNormal="90" workbookViewId="0">
      <selection activeCell="D27" sqref="D27"/>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0.140625" customWidth="1"/>
    <col min="9" max="9" width="12.140625" customWidth="1"/>
    <col min="10" max="10" width="11.28515625" customWidth="1"/>
    <col min="11" max="11" width="10.140625" customWidth="1"/>
  </cols>
  <sheetData>
    <row r="1" spans="1:11" ht="32.25" thickBot="1">
      <c r="A1" s="259" t="s">
        <v>866</v>
      </c>
      <c r="B1" s="259"/>
      <c r="C1" s="112"/>
      <c r="D1" s="76"/>
      <c r="E1" s="76"/>
      <c r="F1" s="76"/>
      <c r="G1" s="76"/>
      <c r="H1" s="76"/>
      <c r="I1" s="76"/>
      <c r="J1" s="76"/>
      <c r="K1" s="76"/>
    </row>
    <row r="2" spans="1:11" ht="15.75" thickTop="1"/>
    <row r="3" spans="1:11" ht="18.75">
      <c r="A3" s="74" t="s">
        <v>203</v>
      </c>
    </row>
    <row r="4" spans="1:11" ht="15" customHeight="1">
      <c r="A4" s="260" t="s">
        <v>867</v>
      </c>
      <c r="B4" s="260"/>
      <c r="C4" s="260"/>
      <c r="D4" s="260"/>
      <c r="E4" s="260"/>
      <c r="F4" s="260"/>
      <c r="G4" s="260"/>
      <c r="H4" s="260"/>
      <c r="I4" s="260"/>
    </row>
    <row r="5" spans="1:11">
      <c r="A5" s="177"/>
      <c r="B5" s="177"/>
      <c r="C5" s="177"/>
      <c r="D5" s="177"/>
      <c r="E5" s="177"/>
      <c r="F5" s="177"/>
      <c r="G5" s="177"/>
      <c r="H5" s="177"/>
      <c r="I5" s="177"/>
    </row>
    <row r="6" spans="1:11" ht="18.75">
      <c r="A6" s="74" t="s">
        <v>24</v>
      </c>
    </row>
    <row r="7" spans="1:11" ht="15.75">
      <c r="A7" s="80" t="s">
        <v>868</v>
      </c>
    </row>
    <row r="9" spans="1:11" ht="15.75">
      <c r="A9" s="73" t="s">
        <v>145</v>
      </c>
    </row>
    <row r="10" spans="1:11">
      <c r="A10" t="s">
        <v>869</v>
      </c>
    </row>
    <row r="11" spans="1:11">
      <c r="A11" s="149"/>
    </row>
    <row r="12" spans="1:11" ht="15.75">
      <c r="A12" s="73" t="s">
        <v>48</v>
      </c>
    </row>
    <row r="13" spans="1:11">
      <c r="A13" s="125" t="s">
        <v>870</v>
      </c>
    </row>
    <row r="14" spans="1:11">
      <c r="A14" s="173" t="s">
        <v>750</v>
      </c>
      <c r="B14" s="175" t="s">
        <v>751</v>
      </c>
      <c r="C14" s="245" t="s">
        <v>217</v>
      </c>
      <c r="D14" s="245"/>
    </row>
    <row r="15" spans="1:11">
      <c r="A15" s="172">
        <v>45.397610567982859</v>
      </c>
      <c r="B15" s="181">
        <f>ODD(A15)</f>
        <v>47</v>
      </c>
      <c r="C15" s="285" t="s">
        <v>871</v>
      </c>
      <c r="D15" s="285"/>
    </row>
    <row r="16" spans="1:11">
      <c r="A16" s="172">
        <v>-50.654626487009899</v>
      </c>
      <c r="B16" s="181">
        <f t="shared" ref="B16:B18" si="0">ODD(A16)</f>
        <v>-51</v>
      </c>
      <c r="C16" s="285" t="s">
        <v>872</v>
      </c>
      <c r="D16" s="285"/>
    </row>
    <row r="17" spans="1:4">
      <c r="A17" s="172">
        <v>85.413909259984749</v>
      </c>
      <c r="B17" s="181">
        <f t="shared" si="0"/>
        <v>87</v>
      </c>
      <c r="C17" s="285" t="s">
        <v>873</v>
      </c>
      <c r="D17" s="285"/>
    </row>
    <row r="18" spans="1:4">
      <c r="A18" s="172">
        <v>33.589347121750201</v>
      </c>
      <c r="B18" s="181">
        <f t="shared" si="0"/>
        <v>35</v>
      </c>
      <c r="C18" s="285" t="s">
        <v>874</v>
      </c>
      <c r="D18" s="285"/>
    </row>
    <row r="19" spans="1:4" ht="15.75">
      <c r="A19" s="73"/>
      <c r="B19" s="126"/>
      <c r="C19" s="126"/>
    </row>
    <row r="20" spans="1:4" ht="15.75">
      <c r="A20" s="73" t="s">
        <v>235</v>
      </c>
    </row>
    <row r="21" spans="1:4">
      <c r="A21" s="125" t="s">
        <v>875</v>
      </c>
    </row>
    <row r="22" spans="1:4">
      <c r="A22" s="175" t="s">
        <v>710</v>
      </c>
      <c r="B22" s="173" t="s">
        <v>49</v>
      </c>
    </row>
    <row r="23" spans="1:4">
      <c r="A23" s="178">
        <v>1111.1110000000001</v>
      </c>
      <c r="B23" s="184">
        <f>ODD(A23)</f>
        <v>1113</v>
      </c>
    </row>
    <row r="24" spans="1:4">
      <c r="A24" s="178">
        <v>95.3</v>
      </c>
      <c r="B24" s="184">
        <f t="shared" ref="B24:B26" si="1">ODD(A24)</f>
        <v>97</v>
      </c>
    </row>
    <row r="25" spans="1:4">
      <c r="A25" s="178">
        <v>51.5</v>
      </c>
      <c r="B25" s="184">
        <f t="shared" si="1"/>
        <v>53</v>
      </c>
    </row>
    <row r="26" spans="1:4">
      <c r="A26" s="183">
        <v>-4.6985000000000001</v>
      </c>
      <c r="B26" s="184">
        <f t="shared" si="1"/>
        <v>-5</v>
      </c>
    </row>
    <row r="27" spans="1:4" ht="15.75">
      <c r="A27" s="73"/>
      <c r="B27" s="126"/>
      <c r="C27" s="126"/>
    </row>
  </sheetData>
  <mergeCells count="7">
    <mergeCell ref="C18:D18"/>
    <mergeCell ref="A1:B1"/>
    <mergeCell ref="A4:I4"/>
    <mergeCell ref="C14:D14"/>
    <mergeCell ref="C15:D15"/>
    <mergeCell ref="C16:D16"/>
    <mergeCell ref="C17:D17"/>
  </mergeCells>
  <pageMargins left="0.7" right="0.7" top="0.75" bottom="0.75" header="0.3" footer="0.3"/>
  <pageSetup orientation="portrait" horizontalDpi="4294967293" verticalDpi="4294967293"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K30"/>
  <sheetViews>
    <sheetView showGridLines="0" zoomScale="90" zoomScaleNormal="90" workbookViewId="0">
      <selection activeCell="E25" sqref="E25"/>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0.140625" customWidth="1"/>
    <col min="9" max="9" width="12.140625" customWidth="1"/>
    <col min="10" max="10" width="11.28515625" customWidth="1"/>
    <col min="11" max="11" width="10.140625" customWidth="1"/>
  </cols>
  <sheetData>
    <row r="1" spans="1:11" ht="32.25" thickBot="1">
      <c r="A1" s="259" t="s">
        <v>189</v>
      </c>
      <c r="B1" s="259"/>
      <c r="C1" s="112"/>
      <c r="D1" s="76"/>
      <c r="E1" s="76"/>
      <c r="F1" s="76"/>
      <c r="G1" s="76"/>
      <c r="H1" s="76"/>
      <c r="I1" s="76"/>
      <c r="J1" s="76"/>
      <c r="K1" s="76"/>
    </row>
    <row r="2" spans="1:11" ht="15.75" thickTop="1"/>
    <row r="3" spans="1:11" ht="18.75">
      <c r="A3" s="74" t="s">
        <v>203</v>
      </c>
    </row>
    <row r="4" spans="1:11" ht="15" customHeight="1">
      <c r="A4" s="260" t="s">
        <v>876</v>
      </c>
      <c r="B4" s="260"/>
      <c r="C4" s="260"/>
      <c r="D4" s="260"/>
      <c r="E4" s="260"/>
      <c r="F4" s="260"/>
      <c r="G4" s="260"/>
      <c r="H4" s="260"/>
      <c r="I4" s="260"/>
    </row>
    <row r="5" spans="1:11">
      <c r="A5" s="177"/>
      <c r="B5" s="177"/>
      <c r="C5" s="177"/>
      <c r="D5" s="177"/>
      <c r="E5" s="177"/>
      <c r="F5" s="177"/>
      <c r="G5" s="177"/>
      <c r="H5" s="177"/>
      <c r="I5" s="177"/>
    </row>
    <row r="6" spans="1:11" ht="18.75">
      <c r="A6" s="74" t="s">
        <v>24</v>
      </c>
    </row>
    <row r="7" spans="1:11" ht="15.75">
      <c r="A7" s="80" t="s">
        <v>877</v>
      </c>
    </row>
    <row r="9" spans="1:11" ht="15.75">
      <c r="A9" s="73" t="s">
        <v>143</v>
      </c>
    </row>
    <row r="10" spans="1:11">
      <c r="A10" t="s">
        <v>880</v>
      </c>
    </row>
    <row r="12" spans="1:11" ht="15.75">
      <c r="A12" s="73" t="s">
        <v>878</v>
      </c>
    </row>
    <row r="13" spans="1:11">
      <c r="A13" t="s">
        <v>879</v>
      </c>
    </row>
    <row r="15" spans="1:11" ht="15.75">
      <c r="A15" s="73" t="s">
        <v>48</v>
      </c>
    </row>
    <row r="16" spans="1:11">
      <c r="A16" s="125" t="s">
        <v>881</v>
      </c>
    </row>
    <row r="17" spans="1:4">
      <c r="A17" s="175" t="s">
        <v>143</v>
      </c>
      <c r="B17" s="175" t="s">
        <v>878</v>
      </c>
      <c r="C17" s="173" t="s">
        <v>883</v>
      </c>
      <c r="D17" s="173" t="s">
        <v>217</v>
      </c>
    </row>
    <row r="18" spans="1:4">
      <c r="A18" s="178">
        <v>3</v>
      </c>
      <c r="B18" s="176">
        <v>5</v>
      </c>
      <c r="C18" s="174">
        <f>MOD(A18,B18)</f>
        <v>3</v>
      </c>
      <c r="D18" s="174" t="s">
        <v>884</v>
      </c>
    </row>
    <row r="19" spans="1:4">
      <c r="A19" s="178">
        <v>19</v>
      </c>
      <c r="B19" s="176">
        <v>3</v>
      </c>
      <c r="C19" s="174">
        <f>MOD(A19,B19)</f>
        <v>1</v>
      </c>
      <c r="D19" s="174" t="s">
        <v>885</v>
      </c>
    </row>
    <row r="20" spans="1:4">
      <c r="A20" s="178">
        <v>8</v>
      </c>
      <c r="B20" s="176">
        <v>2</v>
      </c>
      <c r="C20" s="174">
        <f>MOD(A20,B20)</f>
        <v>0</v>
      </c>
      <c r="D20" s="174" t="s">
        <v>886</v>
      </c>
    </row>
    <row r="21" spans="1:4">
      <c r="A21" s="178">
        <v>-8.5</v>
      </c>
      <c r="B21" s="176">
        <v>3</v>
      </c>
      <c r="C21" s="174">
        <f>MOD(A21,B21)</f>
        <v>0.5</v>
      </c>
      <c r="D21" s="174" t="s">
        <v>887</v>
      </c>
    </row>
    <row r="22" spans="1:4" ht="15.75">
      <c r="A22" s="73"/>
      <c r="B22" s="126"/>
      <c r="C22" s="126"/>
    </row>
    <row r="23" spans="1:4" ht="15.75">
      <c r="A23" s="73" t="s">
        <v>235</v>
      </c>
    </row>
    <row r="24" spans="1:4">
      <c r="A24" s="125" t="s">
        <v>888</v>
      </c>
    </row>
    <row r="25" spans="1:4">
      <c r="A25" s="175" t="s">
        <v>632</v>
      </c>
      <c r="B25" s="175" t="s">
        <v>882</v>
      </c>
      <c r="C25" s="173" t="s">
        <v>49</v>
      </c>
    </row>
    <row r="26" spans="1:4">
      <c r="A26" s="178">
        <v>5</v>
      </c>
      <c r="B26" s="176">
        <v>6</v>
      </c>
      <c r="C26" s="174">
        <f>MOD(A26,B26)</f>
        <v>5</v>
      </c>
    </row>
    <row r="27" spans="1:4">
      <c r="A27" s="178">
        <v>9</v>
      </c>
      <c r="B27" s="176">
        <v>2</v>
      </c>
      <c r="C27" s="221">
        <f t="shared" ref="C27:C29" si="0">MOD(A27,B27)</f>
        <v>1</v>
      </c>
    </row>
    <row r="28" spans="1:4">
      <c r="A28" s="178">
        <v>8</v>
      </c>
      <c r="B28" s="176">
        <v>5</v>
      </c>
      <c r="C28" s="221">
        <f t="shared" si="0"/>
        <v>3</v>
      </c>
    </row>
    <row r="29" spans="1:4">
      <c r="A29" s="183">
        <v>-4.6985000000000001</v>
      </c>
      <c r="B29" s="176">
        <v>-1</v>
      </c>
      <c r="C29" s="221">
        <f t="shared" si="0"/>
        <v>-0.69850000000000012</v>
      </c>
    </row>
    <row r="30" spans="1:4" ht="15.75">
      <c r="A30" s="73"/>
      <c r="B30" s="126"/>
      <c r="C30" s="126"/>
    </row>
  </sheetData>
  <mergeCells count="2">
    <mergeCell ref="A1:B1"/>
    <mergeCell ref="A4:I4"/>
  </mergeCells>
  <pageMargins left="0.7" right="0.7" top="0.75" bottom="0.75" header="0.3" footer="0.3"/>
  <pageSetup orientation="portrait" horizontalDpi="4294967293" verticalDpi="4294967293"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K27"/>
  <sheetViews>
    <sheetView showGridLines="0" zoomScale="90" zoomScaleNormal="90" workbookViewId="0">
      <selection activeCell="E30" sqref="E30"/>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0.140625" customWidth="1"/>
    <col min="9" max="9" width="12.140625" customWidth="1"/>
    <col min="10" max="10" width="11.28515625" customWidth="1"/>
    <col min="11" max="11" width="10.140625" customWidth="1"/>
  </cols>
  <sheetData>
    <row r="1" spans="1:11" ht="32.25" thickBot="1">
      <c r="A1" s="259" t="s">
        <v>190</v>
      </c>
      <c r="B1" s="259"/>
      <c r="C1" s="112"/>
      <c r="D1" s="76"/>
      <c r="E1" s="76"/>
      <c r="F1" s="76"/>
      <c r="G1" s="76"/>
      <c r="H1" s="76"/>
      <c r="I1" s="76"/>
      <c r="J1" s="76"/>
      <c r="K1" s="76"/>
    </row>
    <row r="2" spans="1:11" ht="15.75" thickTop="1"/>
    <row r="3" spans="1:11" ht="18.75">
      <c r="A3" s="74" t="s">
        <v>203</v>
      </c>
    </row>
    <row r="4" spans="1:11" ht="15" customHeight="1">
      <c r="A4" s="260" t="s">
        <v>889</v>
      </c>
      <c r="B4" s="260"/>
      <c r="C4" s="260"/>
      <c r="D4" s="260"/>
      <c r="E4" s="260"/>
      <c r="F4" s="260"/>
      <c r="G4" s="260"/>
      <c r="H4" s="260"/>
      <c r="I4" s="260"/>
    </row>
    <row r="5" spans="1:11">
      <c r="A5" s="177"/>
      <c r="B5" s="177"/>
      <c r="C5" s="177"/>
      <c r="D5" s="177"/>
      <c r="E5" s="177"/>
      <c r="F5" s="177"/>
      <c r="G5" s="177"/>
      <c r="H5" s="177"/>
      <c r="I5" s="177"/>
    </row>
    <row r="6" spans="1:11" ht="18.75">
      <c r="A6" s="74" t="s">
        <v>24</v>
      </c>
    </row>
    <row r="7" spans="1:11" ht="15.75">
      <c r="A7" s="80" t="s">
        <v>891</v>
      </c>
    </row>
    <row r="9" spans="1:11" ht="15.75">
      <c r="A9" s="73" t="s">
        <v>890</v>
      </c>
    </row>
    <row r="10" spans="1:11">
      <c r="A10" t="s">
        <v>892</v>
      </c>
    </row>
    <row r="12" spans="1:11" ht="15.75">
      <c r="A12" s="73" t="s">
        <v>48</v>
      </c>
    </row>
    <row r="13" spans="1:11">
      <c r="A13" s="125" t="s">
        <v>902</v>
      </c>
    </row>
    <row r="14" spans="1:11">
      <c r="A14" s="175" t="s">
        <v>893</v>
      </c>
      <c r="B14" s="175" t="s">
        <v>894</v>
      </c>
      <c r="C14" s="173" t="s">
        <v>895</v>
      </c>
      <c r="D14" s="173" t="s">
        <v>49</v>
      </c>
      <c r="E14" s="173" t="s">
        <v>217</v>
      </c>
    </row>
    <row r="15" spans="1:11">
      <c r="A15" s="178">
        <v>3</v>
      </c>
      <c r="B15" s="176">
        <v>5</v>
      </c>
      <c r="C15" s="174">
        <v>3</v>
      </c>
      <c r="D15" s="174">
        <f>MIN(A15:C15)</f>
        <v>3</v>
      </c>
      <c r="E15" s="86" t="s">
        <v>898</v>
      </c>
    </row>
    <row r="16" spans="1:11">
      <c r="A16" s="178">
        <v>19</v>
      </c>
      <c r="B16" s="176" t="s">
        <v>306</v>
      </c>
      <c r="C16" s="174">
        <v>1</v>
      </c>
      <c r="D16" s="174">
        <f t="shared" ref="D16:D18" si="0">MIN(A16:C16)</f>
        <v>1</v>
      </c>
      <c r="E16" s="86" t="s">
        <v>899</v>
      </c>
    </row>
    <row r="17" spans="1:5">
      <c r="A17" s="178">
        <v>8</v>
      </c>
      <c r="B17" s="176" t="s">
        <v>896</v>
      </c>
      <c r="C17" s="174" t="s">
        <v>897</v>
      </c>
      <c r="D17" s="174">
        <f t="shared" si="0"/>
        <v>8</v>
      </c>
      <c r="E17" s="86" t="s">
        <v>900</v>
      </c>
    </row>
    <row r="18" spans="1:5">
      <c r="A18" s="178">
        <v>-8.5</v>
      </c>
      <c r="B18" s="176">
        <v>3</v>
      </c>
      <c r="C18" s="174">
        <v>0.5</v>
      </c>
      <c r="D18" s="174">
        <f t="shared" si="0"/>
        <v>-8.5</v>
      </c>
      <c r="E18" s="86" t="s">
        <v>901</v>
      </c>
    </row>
    <row r="19" spans="1:5" ht="15.75">
      <c r="A19" s="73"/>
      <c r="B19" s="126"/>
      <c r="C19" s="126"/>
    </row>
    <row r="20" spans="1:5" ht="15.75">
      <c r="A20" s="73" t="s">
        <v>235</v>
      </c>
    </row>
    <row r="21" spans="1:5">
      <c r="A21" s="125" t="s">
        <v>903</v>
      </c>
    </row>
    <row r="22" spans="1:5">
      <c r="A22" s="175" t="s">
        <v>893</v>
      </c>
      <c r="B22" s="175" t="s">
        <v>894</v>
      </c>
      <c r="C22" s="173" t="s">
        <v>895</v>
      </c>
      <c r="D22" s="173" t="s">
        <v>49</v>
      </c>
    </row>
    <row r="23" spans="1:5">
      <c r="A23" s="178">
        <v>3</v>
      </c>
      <c r="B23" s="176">
        <v>5</v>
      </c>
      <c r="C23" s="174">
        <v>3</v>
      </c>
      <c r="D23" s="174" t="str">
        <f>IF(MIN(A23:C23)&lt;5,"Less than 5","Greater than equal to 5")</f>
        <v>Less than 5</v>
      </c>
    </row>
    <row r="24" spans="1:5">
      <c r="A24" s="178">
        <v>19</v>
      </c>
      <c r="B24" s="176" t="s">
        <v>306</v>
      </c>
      <c r="C24" s="174">
        <v>1</v>
      </c>
      <c r="D24" s="221" t="str">
        <f t="shared" ref="D24:D26" si="1">IF(MIN(A24:C24)&lt;5,"Less than 5","Greater than equal to 5")</f>
        <v>Less than 5</v>
      </c>
    </row>
    <row r="25" spans="1:5">
      <c r="A25" s="178">
        <v>8</v>
      </c>
      <c r="B25" s="176" t="s">
        <v>896</v>
      </c>
      <c r="C25" s="174" t="s">
        <v>897</v>
      </c>
      <c r="D25" s="221" t="str">
        <f t="shared" si="1"/>
        <v>Greater than equal to 5</v>
      </c>
    </row>
    <row r="26" spans="1:5">
      <c r="A26" s="178">
        <v>-8.5</v>
      </c>
      <c r="B26" s="176">
        <v>3</v>
      </c>
      <c r="C26" s="174">
        <v>0.5</v>
      </c>
      <c r="D26" s="221" t="str">
        <f t="shared" si="1"/>
        <v>Less than 5</v>
      </c>
    </row>
    <row r="27" spans="1:5" ht="15.75">
      <c r="A27" s="73"/>
      <c r="B27" s="126"/>
      <c r="C27" s="126"/>
    </row>
  </sheetData>
  <mergeCells count="2">
    <mergeCell ref="A1:B1"/>
    <mergeCell ref="A4:I4"/>
  </mergeCells>
  <pageMargins left="0.7" right="0.7" top="0.75" bottom="0.75" header="0.3" footer="0.3"/>
  <pageSetup orientation="portrait" horizontalDpi="4294967293" verticalDpi="4294967293"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K27"/>
  <sheetViews>
    <sheetView showGridLines="0" topLeftCell="A4" zoomScale="90" zoomScaleNormal="90" workbookViewId="0">
      <selection activeCell="E32" sqref="E32"/>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0.140625" customWidth="1"/>
    <col min="9" max="9" width="12.140625" customWidth="1"/>
    <col min="10" max="10" width="11.28515625" customWidth="1"/>
    <col min="11" max="11" width="10.140625" customWidth="1"/>
  </cols>
  <sheetData>
    <row r="1" spans="1:11" ht="32.25" thickBot="1">
      <c r="A1" s="259" t="s">
        <v>191</v>
      </c>
      <c r="B1" s="259"/>
      <c r="C1" s="112"/>
      <c r="D1" s="76"/>
      <c r="E1" s="76"/>
      <c r="F1" s="76"/>
      <c r="G1" s="76"/>
      <c r="H1" s="76"/>
      <c r="I1" s="76"/>
      <c r="J1" s="76"/>
      <c r="K1" s="76"/>
    </row>
    <row r="2" spans="1:11" ht="15.75" thickTop="1"/>
    <row r="3" spans="1:11" ht="18.75">
      <c r="A3" s="74" t="s">
        <v>203</v>
      </c>
    </row>
    <row r="4" spans="1:11" ht="15" customHeight="1">
      <c r="A4" s="260" t="s">
        <v>904</v>
      </c>
      <c r="B4" s="260"/>
      <c r="C4" s="260"/>
      <c r="D4" s="260"/>
      <c r="E4" s="260"/>
      <c r="F4" s="260"/>
      <c r="G4" s="260"/>
      <c r="H4" s="260"/>
      <c r="I4" s="260"/>
    </row>
    <row r="5" spans="1:11">
      <c r="A5" s="177"/>
      <c r="B5" s="177"/>
      <c r="C5" s="177"/>
      <c r="D5" s="177"/>
      <c r="E5" s="177"/>
      <c r="F5" s="177"/>
      <c r="G5" s="177"/>
      <c r="H5" s="177"/>
      <c r="I5" s="177"/>
    </row>
    <row r="6" spans="1:11" ht="18.75">
      <c r="A6" s="74" t="s">
        <v>24</v>
      </c>
    </row>
    <row r="7" spans="1:11" ht="15.75">
      <c r="A7" s="80" t="s">
        <v>905</v>
      </c>
    </row>
    <row r="9" spans="1:11" ht="15.75">
      <c r="A9" s="73" t="s">
        <v>890</v>
      </c>
    </row>
    <row r="10" spans="1:11">
      <c r="A10" t="s">
        <v>906</v>
      </c>
    </row>
    <row r="12" spans="1:11" ht="15.75">
      <c r="A12" s="73" t="s">
        <v>48</v>
      </c>
    </row>
    <row r="13" spans="1:11">
      <c r="A13" s="125" t="s">
        <v>907</v>
      </c>
    </row>
    <row r="14" spans="1:11">
      <c r="A14" s="175" t="s">
        <v>893</v>
      </c>
      <c r="B14" s="175" t="s">
        <v>894</v>
      </c>
      <c r="C14" s="173" t="s">
        <v>895</v>
      </c>
      <c r="D14" s="173" t="s">
        <v>49</v>
      </c>
      <c r="E14" s="173" t="s">
        <v>217</v>
      </c>
    </row>
    <row r="15" spans="1:11">
      <c r="A15" s="178">
        <v>3</v>
      </c>
      <c r="B15" s="176">
        <v>5</v>
      </c>
      <c r="C15" s="174">
        <v>3</v>
      </c>
      <c r="D15" s="174">
        <f>MAX(A15:C15)</f>
        <v>5</v>
      </c>
      <c r="E15" s="86" t="s">
        <v>908</v>
      </c>
    </row>
    <row r="16" spans="1:11">
      <c r="A16" s="178">
        <v>19</v>
      </c>
      <c r="B16" s="176" t="s">
        <v>306</v>
      </c>
      <c r="C16" s="174">
        <v>1</v>
      </c>
      <c r="D16" s="174">
        <f t="shared" ref="D16:D18" si="0">MAX(A16:C16)</f>
        <v>19</v>
      </c>
      <c r="E16" s="86" t="s">
        <v>909</v>
      </c>
    </row>
    <row r="17" spans="1:5">
      <c r="A17" s="178">
        <v>8</v>
      </c>
      <c r="B17" s="176" t="s">
        <v>896</v>
      </c>
      <c r="C17" s="174" t="s">
        <v>897</v>
      </c>
      <c r="D17" s="174">
        <f t="shared" si="0"/>
        <v>8</v>
      </c>
      <c r="E17" s="86" t="s">
        <v>910</v>
      </c>
    </row>
    <row r="18" spans="1:5">
      <c r="A18" s="178">
        <v>-8.5</v>
      </c>
      <c r="B18" s="176">
        <v>3</v>
      </c>
      <c r="C18" s="174">
        <v>0.5</v>
      </c>
      <c r="D18" s="174">
        <f t="shared" si="0"/>
        <v>3</v>
      </c>
      <c r="E18" s="86" t="s">
        <v>911</v>
      </c>
    </row>
    <row r="19" spans="1:5" ht="15.75">
      <c r="A19" s="73"/>
      <c r="B19" s="126"/>
      <c r="C19" s="126"/>
    </row>
    <row r="20" spans="1:5" ht="15.75">
      <c r="A20" s="73" t="s">
        <v>235</v>
      </c>
    </row>
    <row r="21" spans="1:5">
      <c r="A21" s="125" t="s">
        <v>912</v>
      </c>
    </row>
    <row r="22" spans="1:5">
      <c r="A22" s="175" t="s">
        <v>893</v>
      </c>
      <c r="B22" s="175" t="s">
        <v>894</v>
      </c>
      <c r="C22" s="173" t="s">
        <v>895</v>
      </c>
      <c r="D22" s="173" t="s">
        <v>49</v>
      </c>
    </row>
    <row r="23" spans="1:5">
      <c r="A23" s="178">
        <v>3</v>
      </c>
      <c r="B23" s="176">
        <v>5</v>
      </c>
      <c r="C23" s="174">
        <v>3</v>
      </c>
      <c r="D23" s="174" t="str">
        <f>IF(MAX(A23:C23)&lt;5,"Less than 5","Greater than equal to 5")</f>
        <v>Greater than equal to 5</v>
      </c>
    </row>
    <row r="24" spans="1:5">
      <c r="A24" s="178">
        <v>19</v>
      </c>
      <c r="B24" s="176" t="s">
        <v>306</v>
      </c>
      <c r="C24" s="174">
        <v>1</v>
      </c>
      <c r="D24" s="221" t="str">
        <f t="shared" ref="D24:D26" si="1">IF(MAX(A24:C24)&lt;5,"Less than 5","Greater than equal to 5")</f>
        <v>Greater than equal to 5</v>
      </c>
    </row>
    <row r="25" spans="1:5">
      <c r="A25" s="178">
        <v>8</v>
      </c>
      <c r="B25" s="176" t="s">
        <v>896</v>
      </c>
      <c r="C25" s="174" t="s">
        <v>897</v>
      </c>
      <c r="D25" s="221" t="str">
        <f t="shared" si="1"/>
        <v>Greater than equal to 5</v>
      </c>
    </row>
    <row r="26" spans="1:5">
      <c r="A26" s="178">
        <v>-8.5</v>
      </c>
      <c r="B26" s="176">
        <v>3</v>
      </c>
      <c r="C26" s="174">
        <v>0.5</v>
      </c>
      <c r="D26" s="221" t="str">
        <f t="shared" si="1"/>
        <v>Less than 5</v>
      </c>
    </row>
    <row r="27" spans="1:5" ht="15.75">
      <c r="A27" s="73"/>
      <c r="B27" s="126"/>
      <c r="C27" s="126"/>
    </row>
  </sheetData>
  <mergeCells count="2">
    <mergeCell ref="A1:B1"/>
    <mergeCell ref="A4:I4"/>
  </mergeCells>
  <pageMargins left="0.7" right="0.7" top="0.75" bottom="0.75" header="0.3" footer="0.3"/>
  <pageSetup orientation="portrait" horizontalDpi="4294967293" verticalDpi="4294967293"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K27"/>
  <sheetViews>
    <sheetView showGridLines="0" zoomScale="90" zoomScaleNormal="90" workbookViewId="0">
      <selection activeCell="F29" sqref="F29"/>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0.140625" customWidth="1"/>
    <col min="9" max="9" width="12.140625" customWidth="1"/>
    <col min="10" max="10" width="11.28515625" customWidth="1"/>
    <col min="11" max="11" width="10.140625" customWidth="1"/>
  </cols>
  <sheetData>
    <row r="1" spans="1:11" ht="32.25" thickBot="1">
      <c r="A1" s="259" t="s">
        <v>192</v>
      </c>
      <c r="B1" s="259"/>
      <c r="C1" s="112"/>
      <c r="D1" s="76"/>
      <c r="E1" s="76"/>
      <c r="F1" s="76"/>
      <c r="G1" s="76"/>
      <c r="H1" s="76"/>
      <c r="I1" s="76"/>
      <c r="J1" s="76"/>
      <c r="K1" s="76"/>
    </row>
    <row r="2" spans="1:11" ht="15.75" thickTop="1"/>
    <row r="3" spans="1:11" ht="18.75">
      <c r="A3" s="74" t="s">
        <v>203</v>
      </c>
    </row>
    <row r="4" spans="1:11" ht="15" customHeight="1">
      <c r="A4" s="260" t="s">
        <v>916</v>
      </c>
      <c r="B4" s="260"/>
      <c r="C4" s="260"/>
      <c r="D4" s="260"/>
      <c r="E4" s="260"/>
      <c r="F4" s="260"/>
      <c r="G4" s="260"/>
      <c r="H4" s="260"/>
      <c r="I4" s="260"/>
    </row>
    <row r="5" spans="1:11">
      <c r="A5" s="177"/>
      <c r="B5" s="177"/>
      <c r="C5" s="177"/>
      <c r="D5" s="177"/>
      <c r="E5" s="177"/>
      <c r="F5" s="177"/>
      <c r="G5" s="177"/>
      <c r="H5" s="177"/>
      <c r="I5" s="177"/>
    </row>
    <row r="6" spans="1:11" ht="18.75">
      <c r="A6" s="74" t="s">
        <v>24</v>
      </c>
    </row>
    <row r="7" spans="1:11" ht="15.75">
      <c r="A7" s="80" t="s">
        <v>913</v>
      </c>
    </row>
    <row r="9" spans="1:11" ht="15.75">
      <c r="A9" s="73" t="s">
        <v>890</v>
      </c>
    </row>
    <row r="10" spans="1:11">
      <c r="A10" t="s">
        <v>914</v>
      </c>
    </row>
    <row r="12" spans="1:11" ht="15.75">
      <c r="A12" s="73" t="s">
        <v>48</v>
      </c>
    </row>
    <row r="13" spans="1:11">
      <c r="A13" s="125" t="s">
        <v>915</v>
      </c>
    </row>
    <row r="14" spans="1:11">
      <c r="A14" s="175" t="s">
        <v>893</v>
      </c>
      <c r="B14" s="175" t="s">
        <v>894</v>
      </c>
      <c r="C14" s="173" t="s">
        <v>895</v>
      </c>
      <c r="D14" s="173" t="s">
        <v>49</v>
      </c>
      <c r="E14" s="173" t="s">
        <v>217</v>
      </c>
    </row>
    <row r="15" spans="1:11">
      <c r="A15" s="178">
        <v>3</v>
      </c>
      <c r="B15" s="176"/>
      <c r="C15" s="174">
        <v>5</v>
      </c>
      <c r="D15" s="174">
        <f>AVERAGE(A15:C15)</f>
        <v>4</v>
      </c>
      <c r="E15" s="86" t="s">
        <v>908</v>
      </c>
    </row>
    <row r="16" spans="1:11">
      <c r="A16" s="178">
        <v>19</v>
      </c>
      <c r="B16" s="176" t="s">
        <v>306</v>
      </c>
      <c r="C16" s="174">
        <v>1</v>
      </c>
      <c r="D16" s="174">
        <f t="shared" ref="D16:D18" si="0">AVERAGE(A16:C16)</f>
        <v>10</v>
      </c>
      <c r="E16" s="86" t="s">
        <v>909</v>
      </c>
    </row>
    <row r="17" spans="1:5">
      <c r="A17" s="178">
        <v>8</v>
      </c>
      <c r="B17" s="176" t="s">
        <v>896</v>
      </c>
      <c r="C17" s="174" t="s">
        <v>897</v>
      </c>
      <c r="D17" s="174">
        <f t="shared" si="0"/>
        <v>8</v>
      </c>
      <c r="E17" s="86" t="s">
        <v>910</v>
      </c>
    </row>
    <row r="18" spans="1:5">
      <c r="A18" s="178">
        <v>-8.5</v>
      </c>
      <c r="B18" s="176">
        <v>3</v>
      </c>
      <c r="C18" s="174">
        <v>0.5</v>
      </c>
      <c r="D18" s="174">
        <f t="shared" si="0"/>
        <v>-1.6666666666666667</v>
      </c>
      <c r="E18" s="86" t="s">
        <v>911</v>
      </c>
    </row>
    <row r="19" spans="1:5" ht="15.75">
      <c r="A19" s="73"/>
      <c r="B19" s="126"/>
      <c r="C19" s="126"/>
    </row>
    <row r="20" spans="1:5" ht="15.75">
      <c r="A20" s="73" t="s">
        <v>235</v>
      </c>
    </row>
    <row r="21" spans="1:5">
      <c r="A21" s="125" t="s">
        <v>917</v>
      </c>
    </row>
    <row r="22" spans="1:5">
      <c r="A22" s="175" t="s">
        <v>893</v>
      </c>
      <c r="B22" s="175" t="s">
        <v>894</v>
      </c>
      <c r="C22" s="173" t="s">
        <v>895</v>
      </c>
      <c r="D22" s="173" t="s">
        <v>49</v>
      </c>
    </row>
    <row r="23" spans="1:5">
      <c r="A23" s="178">
        <v>3</v>
      </c>
      <c r="B23" s="176">
        <v>5</v>
      </c>
      <c r="C23" s="174">
        <v>3</v>
      </c>
      <c r="D23" s="174">
        <f>AVERAGE(A23:C23)</f>
        <v>3.6666666666666665</v>
      </c>
    </row>
    <row r="24" spans="1:5">
      <c r="A24" s="178">
        <v>19</v>
      </c>
      <c r="B24" s="176" t="s">
        <v>306</v>
      </c>
      <c r="C24" s="174">
        <v>1</v>
      </c>
      <c r="D24" s="221">
        <f t="shared" ref="D24:D26" si="1">AVERAGE(A24:C24)</f>
        <v>10</v>
      </c>
    </row>
    <row r="25" spans="1:5">
      <c r="A25" s="178">
        <v>8</v>
      </c>
      <c r="B25" s="176" t="s">
        <v>896</v>
      </c>
      <c r="C25" s="174" t="s">
        <v>897</v>
      </c>
      <c r="D25" s="221">
        <f t="shared" si="1"/>
        <v>8</v>
      </c>
    </row>
    <row r="26" spans="1:5">
      <c r="A26" s="178">
        <v>1.5</v>
      </c>
      <c r="B26" s="176"/>
      <c r="C26" s="174">
        <v>4.5</v>
      </c>
      <c r="D26" s="221">
        <f t="shared" si="1"/>
        <v>3</v>
      </c>
    </row>
    <row r="27" spans="1:5" ht="15.75">
      <c r="A27" s="73"/>
      <c r="B27" s="126"/>
      <c r="C27" s="126"/>
    </row>
  </sheetData>
  <mergeCells count="2">
    <mergeCell ref="A1:B1"/>
    <mergeCell ref="A4:I4"/>
  </mergeCells>
  <pageMargins left="0.7" right="0.7" top="0.75" bottom="0.75" header="0.3" footer="0.3"/>
  <pageSetup orientation="portrait" horizontalDpi="4294967293" verticalDpi="4294967293"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K30"/>
  <sheetViews>
    <sheetView showGridLines="0" zoomScale="90" zoomScaleNormal="90" workbookViewId="0">
      <selection activeCell="E30" sqref="E30"/>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0.140625" customWidth="1"/>
    <col min="9" max="9" width="12.140625" customWidth="1"/>
    <col min="10" max="10" width="11.28515625" customWidth="1"/>
    <col min="11" max="11" width="10.140625" customWidth="1"/>
  </cols>
  <sheetData>
    <row r="1" spans="1:11" ht="32.25" thickBot="1">
      <c r="A1" s="259" t="s">
        <v>193</v>
      </c>
      <c r="B1" s="259"/>
      <c r="C1" s="112"/>
      <c r="D1" s="76"/>
      <c r="E1" s="76"/>
      <c r="F1" s="76"/>
      <c r="G1" s="76"/>
      <c r="H1" s="76"/>
      <c r="I1" s="76"/>
      <c r="J1" s="76"/>
      <c r="K1" s="76"/>
    </row>
    <row r="2" spans="1:11" ht="15.75" thickTop="1"/>
    <row r="3" spans="1:11" ht="18.75">
      <c r="A3" s="74" t="s">
        <v>203</v>
      </c>
    </row>
    <row r="4" spans="1:11" ht="15" customHeight="1">
      <c r="A4" s="260" t="s">
        <v>918</v>
      </c>
      <c r="B4" s="260"/>
      <c r="C4" s="260"/>
      <c r="D4" s="260"/>
      <c r="E4" s="260"/>
      <c r="F4" s="260"/>
      <c r="G4" s="260"/>
      <c r="H4" s="260"/>
      <c r="I4" s="260"/>
    </row>
    <row r="5" spans="1:11">
      <c r="A5" s="177"/>
      <c r="B5" s="177"/>
      <c r="C5" s="177"/>
      <c r="D5" s="177"/>
      <c r="E5" s="177"/>
      <c r="F5" s="177"/>
      <c r="G5" s="177"/>
      <c r="H5" s="177"/>
      <c r="I5" s="177"/>
    </row>
    <row r="6" spans="1:11" ht="18.75">
      <c r="A6" s="74" t="s">
        <v>24</v>
      </c>
    </row>
    <row r="7" spans="1:11" ht="15.75">
      <c r="A7" s="80" t="s">
        <v>919</v>
      </c>
    </row>
    <row r="9" spans="1:11" ht="15.75">
      <c r="A9" s="73" t="s">
        <v>920</v>
      </c>
    </row>
    <row r="10" spans="1:11">
      <c r="A10" t="s">
        <v>921</v>
      </c>
    </row>
    <row r="12" spans="1:11" ht="15.75">
      <c r="A12" s="73" t="s">
        <v>923</v>
      </c>
    </row>
    <row r="13" spans="1:11">
      <c r="A13" t="s">
        <v>922</v>
      </c>
    </row>
    <row r="15" spans="1:11" ht="15.75">
      <c r="A15" s="73" t="s">
        <v>48</v>
      </c>
    </row>
    <row r="16" spans="1:11">
      <c r="A16" s="125" t="s">
        <v>929</v>
      </c>
    </row>
    <row r="17" spans="1:7" s="204" customFormat="1" ht="30">
      <c r="A17" s="242" t="s">
        <v>924</v>
      </c>
      <c r="B17" s="243"/>
      <c r="C17" s="244"/>
      <c r="D17" s="98" t="s">
        <v>923</v>
      </c>
      <c r="E17" s="98" t="s">
        <v>49</v>
      </c>
      <c r="F17" s="286" t="s">
        <v>217</v>
      </c>
      <c r="G17" s="286"/>
    </row>
    <row r="18" spans="1:7">
      <c r="A18" s="178">
        <v>3</v>
      </c>
      <c r="B18" s="176">
        <v>1</v>
      </c>
      <c r="C18" s="174">
        <v>5</v>
      </c>
      <c r="D18" s="174">
        <v>1</v>
      </c>
      <c r="E18" s="174">
        <f>SMALL(A18:C21,D18)</f>
        <v>-8.5</v>
      </c>
      <c r="F18" s="246" t="s">
        <v>925</v>
      </c>
      <c r="G18" s="246"/>
    </row>
    <row r="19" spans="1:7">
      <c r="A19" s="178">
        <v>19</v>
      </c>
      <c r="B19" s="176">
        <v>50</v>
      </c>
      <c r="C19" s="174">
        <v>1</v>
      </c>
      <c r="D19" s="174">
        <v>5</v>
      </c>
      <c r="E19" s="174">
        <f>SMALL(A18:C21,D19)</f>
        <v>3</v>
      </c>
      <c r="F19" s="246" t="s">
        <v>926</v>
      </c>
      <c r="G19" s="246"/>
    </row>
    <row r="20" spans="1:7">
      <c r="A20" s="178">
        <v>8</v>
      </c>
      <c r="B20" s="176">
        <v>12</v>
      </c>
      <c r="C20" s="174">
        <v>20</v>
      </c>
      <c r="D20" s="174">
        <v>4</v>
      </c>
      <c r="E20" s="174">
        <f>SMALL(A18:C21,D20)</f>
        <v>1</v>
      </c>
      <c r="F20" s="246" t="s">
        <v>927</v>
      </c>
      <c r="G20" s="246"/>
    </row>
    <row r="21" spans="1:7">
      <c r="A21" s="178">
        <v>-8.5</v>
      </c>
      <c r="B21" s="176">
        <v>3</v>
      </c>
      <c r="C21" s="174">
        <v>0.5</v>
      </c>
      <c r="D21" s="174">
        <v>12</v>
      </c>
      <c r="E21" s="174">
        <f>SMALL(A18:C21,D21)</f>
        <v>50</v>
      </c>
      <c r="F21" s="246" t="s">
        <v>928</v>
      </c>
      <c r="G21" s="246"/>
    </row>
    <row r="22" spans="1:7" ht="15.75">
      <c r="A22" s="73"/>
      <c r="B22" s="126"/>
      <c r="C22" s="126"/>
    </row>
    <row r="23" spans="1:7" ht="15.75">
      <c r="A23" s="73" t="s">
        <v>235</v>
      </c>
    </row>
    <row r="24" spans="1:7">
      <c r="A24" s="125" t="s">
        <v>930</v>
      </c>
    </row>
    <row r="25" spans="1:7" ht="30">
      <c r="A25" s="242" t="s">
        <v>924</v>
      </c>
      <c r="B25" s="243"/>
      <c r="C25" s="244"/>
      <c r="D25" s="98" t="s">
        <v>923</v>
      </c>
      <c r="E25" s="98" t="s">
        <v>49</v>
      </c>
    </row>
    <row r="26" spans="1:7">
      <c r="A26" s="178">
        <v>3</v>
      </c>
      <c r="B26" s="176">
        <v>5</v>
      </c>
      <c r="C26" s="174">
        <v>3</v>
      </c>
      <c r="D26" s="174">
        <v>1</v>
      </c>
      <c r="E26" s="174">
        <f>SMALL(A26:C29,D26)</f>
        <v>1</v>
      </c>
    </row>
    <row r="27" spans="1:7">
      <c r="A27" s="178">
        <v>19</v>
      </c>
      <c r="B27" s="176">
        <v>2</v>
      </c>
      <c r="C27" s="174">
        <v>1</v>
      </c>
      <c r="D27" s="174">
        <v>2</v>
      </c>
      <c r="E27" s="221">
        <f>SMALL(A26:C29,D27)</f>
        <v>1</v>
      </c>
    </row>
    <row r="28" spans="1:7">
      <c r="A28" s="178">
        <v>8</v>
      </c>
      <c r="B28" s="176">
        <v>5</v>
      </c>
      <c r="C28" s="174">
        <v>3</v>
      </c>
      <c r="D28" s="174">
        <v>3</v>
      </c>
      <c r="E28" s="221">
        <f>SMALL(A26:C29,D28)</f>
        <v>1.5</v>
      </c>
    </row>
    <row r="29" spans="1:7">
      <c r="A29" s="178">
        <v>1.5</v>
      </c>
      <c r="B29" s="176">
        <v>1</v>
      </c>
      <c r="C29" s="174">
        <v>4.5</v>
      </c>
      <c r="D29" s="174">
        <v>4</v>
      </c>
      <c r="E29" s="221">
        <f>SMALL(A26:C29,D29)</f>
        <v>2</v>
      </c>
    </row>
    <row r="30" spans="1:7" ht="15.75">
      <c r="A30" s="73"/>
      <c r="B30" s="126"/>
      <c r="C30" s="126"/>
    </row>
  </sheetData>
  <mergeCells count="9">
    <mergeCell ref="F20:G20"/>
    <mergeCell ref="F21:G21"/>
    <mergeCell ref="A25:C25"/>
    <mergeCell ref="A1:B1"/>
    <mergeCell ref="A4:I4"/>
    <mergeCell ref="A17:C17"/>
    <mergeCell ref="F17:G17"/>
    <mergeCell ref="F18:G18"/>
    <mergeCell ref="F19:G19"/>
  </mergeCells>
  <pageMargins left="0.7" right="0.7" top="0.75" bottom="0.75" header="0.3" footer="0.3"/>
  <pageSetup orientation="portrait" horizontalDpi="4294967293" verticalDpi="4294967293"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32"/>
  <sheetViews>
    <sheetView showGridLines="0" zoomScale="90" zoomScaleNormal="90" workbookViewId="0">
      <selection activeCell="E29" sqref="E29"/>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0.140625" customWidth="1"/>
    <col min="9" max="9" width="12.140625" customWidth="1"/>
    <col min="10" max="10" width="11.28515625" customWidth="1"/>
    <col min="11" max="11" width="10.140625" customWidth="1"/>
  </cols>
  <sheetData>
    <row r="1" spans="1:11" ht="32.25" thickBot="1">
      <c r="A1" s="259" t="s">
        <v>194</v>
      </c>
      <c r="B1" s="259"/>
      <c r="C1" s="112"/>
      <c r="D1" s="76"/>
      <c r="E1" s="76"/>
      <c r="F1" s="76"/>
      <c r="G1" s="76"/>
      <c r="H1" s="76"/>
      <c r="I1" s="76"/>
      <c r="J1" s="76"/>
      <c r="K1" s="76"/>
    </row>
    <row r="2" spans="1:11" ht="15.75" thickTop="1"/>
    <row r="3" spans="1:11" ht="18.75">
      <c r="A3" s="74" t="s">
        <v>203</v>
      </c>
    </row>
    <row r="4" spans="1:11" ht="15" customHeight="1">
      <c r="A4" s="260" t="s">
        <v>931</v>
      </c>
      <c r="B4" s="260"/>
      <c r="C4" s="260"/>
      <c r="D4" s="260"/>
      <c r="E4" s="260"/>
      <c r="F4" s="260"/>
      <c r="G4" s="260"/>
      <c r="H4" s="260"/>
      <c r="I4" s="260"/>
    </row>
    <row r="5" spans="1:11">
      <c r="A5" s="177"/>
      <c r="B5" s="177"/>
      <c r="C5" s="177"/>
      <c r="D5" s="177"/>
      <c r="E5" s="177"/>
      <c r="F5" s="177"/>
      <c r="G5" s="177"/>
      <c r="H5" s="177"/>
      <c r="I5" s="177"/>
    </row>
    <row r="6" spans="1:11" ht="18.75">
      <c r="A6" s="74" t="s">
        <v>24</v>
      </c>
    </row>
    <row r="7" spans="1:11" ht="15.75">
      <c r="A7" s="80" t="s">
        <v>932</v>
      </c>
    </row>
    <row r="9" spans="1:11" ht="15.75">
      <c r="A9" s="73" t="s">
        <v>920</v>
      </c>
    </row>
    <row r="10" spans="1:11">
      <c r="A10" t="s">
        <v>933</v>
      </c>
    </row>
    <row r="12" spans="1:11" ht="15.75">
      <c r="A12" s="73" t="s">
        <v>934</v>
      </c>
    </row>
    <row r="13" spans="1:11">
      <c r="A13" t="s">
        <v>935</v>
      </c>
    </row>
    <row r="15" spans="1:11" ht="15.75">
      <c r="A15" s="73" t="s">
        <v>48</v>
      </c>
    </row>
    <row r="16" spans="1:11">
      <c r="A16" s="125" t="s">
        <v>929</v>
      </c>
    </row>
    <row r="17" spans="1:7" s="204" customFormat="1" ht="30">
      <c r="A17" s="242" t="s">
        <v>924</v>
      </c>
      <c r="B17" s="243"/>
      <c r="C17" s="244"/>
      <c r="D17" s="98" t="s">
        <v>934</v>
      </c>
      <c r="E17" s="98" t="s">
        <v>49</v>
      </c>
      <c r="F17" s="286" t="s">
        <v>217</v>
      </c>
      <c r="G17" s="286"/>
    </row>
    <row r="18" spans="1:7">
      <c r="A18" s="178">
        <v>3</v>
      </c>
      <c r="B18" s="176">
        <v>1</v>
      </c>
      <c r="C18" s="174">
        <v>5</v>
      </c>
      <c r="D18" s="174">
        <v>1</v>
      </c>
      <c r="E18" s="174">
        <f>LARGE(A18:C21,D18)</f>
        <v>50</v>
      </c>
      <c r="F18" s="246" t="s">
        <v>936</v>
      </c>
      <c r="G18" s="246"/>
    </row>
    <row r="19" spans="1:7">
      <c r="A19" s="178">
        <v>19</v>
      </c>
      <c r="B19" s="176">
        <v>50</v>
      </c>
      <c r="C19" s="174">
        <v>1</v>
      </c>
      <c r="D19" s="174">
        <v>5</v>
      </c>
      <c r="E19" s="174">
        <f>LARGE(A18:C21,D19)</f>
        <v>8</v>
      </c>
      <c r="F19" s="246" t="s">
        <v>937</v>
      </c>
      <c r="G19" s="246"/>
    </row>
    <row r="20" spans="1:7">
      <c r="A20" s="178">
        <v>8</v>
      </c>
      <c r="B20" s="176">
        <v>12</v>
      </c>
      <c r="C20" s="174">
        <v>20</v>
      </c>
      <c r="D20" s="174">
        <v>4</v>
      </c>
      <c r="E20" s="174">
        <f>LARGE(A18:C21,D20)</f>
        <v>12</v>
      </c>
      <c r="F20" s="246" t="s">
        <v>938</v>
      </c>
      <c r="G20" s="246"/>
    </row>
    <row r="21" spans="1:7">
      <c r="A21" s="178">
        <v>-8.5</v>
      </c>
      <c r="B21" s="176">
        <v>3</v>
      </c>
      <c r="C21" s="174">
        <v>0.5</v>
      </c>
      <c r="D21" s="174">
        <v>12</v>
      </c>
      <c r="E21" s="174">
        <f>LARGE(A18:C21,D21)</f>
        <v>-8.5</v>
      </c>
      <c r="F21" s="246" t="s">
        <v>939</v>
      </c>
      <c r="G21" s="246"/>
    </row>
    <row r="22" spans="1:7" ht="15.75">
      <c r="A22" s="73"/>
      <c r="B22" s="126"/>
      <c r="C22" s="126"/>
    </row>
    <row r="23" spans="1:7" ht="15.75">
      <c r="A23" s="73" t="s">
        <v>235</v>
      </c>
    </row>
    <row r="24" spans="1:7">
      <c r="A24" s="125" t="s">
        <v>940</v>
      </c>
    </row>
    <row r="25" spans="1:7" ht="30">
      <c r="A25" s="242" t="s">
        <v>924</v>
      </c>
      <c r="B25" s="243"/>
      <c r="C25" s="244"/>
      <c r="D25" s="98" t="s">
        <v>934</v>
      </c>
      <c r="E25" s="98" t="s">
        <v>49</v>
      </c>
    </row>
    <row r="26" spans="1:7">
      <c r="A26" s="178">
        <v>3</v>
      </c>
      <c r="B26" s="176">
        <v>5</v>
      </c>
      <c r="C26" s="174">
        <v>3</v>
      </c>
      <c r="D26" s="174">
        <v>1</v>
      </c>
      <c r="E26" s="174">
        <f>LARGE(A26:C29,D26)</f>
        <v>19</v>
      </c>
    </row>
    <row r="27" spans="1:7">
      <c r="A27" s="178">
        <v>19</v>
      </c>
      <c r="B27" s="176">
        <v>2</v>
      </c>
      <c r="C27" s="174">
        <v>1</v>
      </c>
      <c r="D27" s="174">
        <v>2</v>
      </c>
      <c r="E27" s="221">
        <f>LARGE(A26:C29,D27)</f>
        <v>8</v>
      </c>
    </row>
    <row r="28" spans="1:7">
      <c r="A28" s="178">
        <v>8</v>
      </c>
      <c r="B28" s="176">
        <v>5</v>
      </c>
      <c r="C28" s="174">
        <v>3</v>
      </c>
      <c r="D28" s="174">
        <v>3</v>
      </c>
      <c r="E28" s="221">
        <f>LARGE(A26:C29,D28)</f>
        <v>5</v>
      </c>
    </row>
    <row r="29" spans="1:7">
      <c r="A29" s="178">
        <v>1.5</v>
      </c>
      <c r="B29" s="176">
        <v>1</v>
      </c>
      <c r="C29" s="174">
        <v>4.5</v>
      </c>
      <c r="D29" s="174">
        <v>4</v>
      </c>
      <c r="E29" s="221">
        <f>LARGE(A26:C29,D29)</f>
        <v>5</v>
      </c>
    </row>
    <row r="30" spans="1:7" ht="15.75">
      <c r="A30" s="73"/>
      <c r="B30" s="126"/>
      <c r="C30" s="126"/>
    </row>
    <row r="32" spans="1:7">
      <c r="G32" t="s">
        <v>948</v>
      </c>
    </row>
  </sheetData>
  <mergeCells count="9">
    <mergeCell ref="F20:G20"/>
    <mergeCell ref="F21:G21"/>
    <mergeCell ref="A25:C25"/>
    <mergeCell ref="A1:B1"/>
    <mergeCell ref="A4:I4"/>
    <mergeCell ref="A17:C17"/>
    <mergeCell ref="F17:G17"/>
    <mergeCell ref="F18:G18"/>
    <mergeCell ref="F19:G19"/>
  </mergeCells>
  <pageMargins left="0.7" right="0.7" top="0.75" bottom="0.75" header="0.3" footer="0.3"/>
  <pageSetup orientation="portrait" horizontalDpi="4294967293" verticalDpi="4294967293"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K37"/>
  <sheetViews>
    <sheetView showGridLines="0" zoomScale="90" zoomScaleNormal="90" workbookViewId="0">
      <selection activeCell="D34" sqref="D34"/>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0.140625" customWidth="1"/>
    <col min="9" max="9" width="12.140625" customWidth="1"/>
    <col min="10" max="10" width="11.28515625" customWidth="1"/>
    <col min="11" max="11" width="10.140625" customWidth="1"/>
  </cols>
  <sheetData>
    <row r="1" spans="1:11" ht="32.25" thickBot="1">
      <c r="A1" s="259" t="s">
        <v>195</v>
      </c>
      <c r="B1" s="259"/>
      <c r="C1" s="112"/>
      <c r="D1" s="76"/>
      <c r="E1" s="76"/>
      <c r="F1" s="76"/>
      <c r="G1" s="76"/>
      <c r="H1" s="76"/>
      <c r="I1" s="76"/>
      <c r="J1" s="76"/>
      <c r="K1" s="76"/>
    </row>
    <row r="2" spans="1:11" ht="15.75" thickTop="1"/>
    <row r="3" spans="1:11" ht="18.75">
      <c r="A3" s="74" t="s">
        <v>203</v>
      </c>
    </row>
    <row r="4" spans="1:11" ht="15" customHeight="1">
      <c r="A4" s="260" t="s">
        <v>941</v>
      </c>
      <c r="B4" s="260"/>
      <c r="C4" s="260"/>
      <c r="D4" s="260"/>
      <c r="E4" s="260"/>
      <c r="F4" s="260"/>
      <c r="G4" s="260"/>
      <c r="H4" s="260"/>
      <c r="I4" s="260"/>
    </row>
    <row r="5" spans="1:11">
      <c r="A5" s="201"/>
      <c r="B5" s="201"/>
      <c r="C5" s="201"/>
      <c r="D5" s="201"/>
      <c r="E5" s="201"/>
      <c r="F5" s="201"/>
      <c r="G5" s="201"/>
      <c r="H5" s="201"/>
      <c r="I5" s="201"/>
    </row>
    <row r="6" spans="1:11" ht="18.75">
      <c r="A6" s="74" t="s">
        <v>24</v>
      </c>
    </row>
    <row r="7" spans="1:11" ht="15.75">
      <c r="A7" s="80" t="s">
        <v>942</v>
      </c>
    </row>
    <row r="9" spans="1:11" ht="15.75">
      <c r="A9" s="73" t="s">
        <v>943</v>
      </c>
    </row>
    <row r="10" spans="1:11">
      <c r="A10" t="s">
        <v>944</v>
      </c>
    </row>
    <row r="12" spans="1:11" ht="15.75">
      <c r="A12" s="73" t="s">
        <v>945</v>
      </c>
    </row>
    <row r="13" spans="1:11">
      <c r="A13" t="s">
        <v>946</v>
      </c>
    </row>
    <row r="15" spans="1:11" ht="15.75">
      <c r="A15" s="73" t="s">
        <v>48</v>
      </c>
    </row>
    <row r="16" spans="1:11">
      <c r="A16" s="125" t="s">
        <v>947</v>
      </c>
    </row>
    <row r="17" spans="1:6" s="204" customFormat="1" ht="15" customHeight="1">
      <c r="A17" s="242" t="s">
        <v>953</v>
      </c>
      <c r="B17" s="243"/>
      <c r="C17" s="244"/>
      <c r="D17" s="205" t="s">
        <v>49</v>
      </c>
      <c r="E17" s="286" t="s">
        <v>217</v>
      </c>
      <c r="F17" s="286"/>
    </row>
    <row r="18" spans="1:6">
      <c r="A18" s="202">
        <v>3</v>
      </c>
      <c r="B18" s="199">
        <v>1</v>
      </c>
      <c r="C18" s="196">
        <v>5</v>
      </c>
      <c r="D18" s="196">
        <f>COUNT(A18:C18)</f>
        <v>3</v>
      </c>
      <c r="E18" s="246" t="s">
        <v>949</v>
      </c>
      <c r="F18" s="246"/>
    </row>
    <row r="19" spans="1:6">
      <c r="A19" s="202">
        <v>19</v>
      </c>
      <c r="B19" s="199" t="s">
        <v>2</v>
      </c>
      <c r="C19" s="196">
        <v>1</v>
      </c>
      <c r="D19" s="196">
        <f t="shared" ref="D19:D21" si="0">COUNT(A19:C19)</f>
        <v>2</v>
      </c>
      <c r="E19" s="246" t="s">
        <v>950</v>
      </c>
      <c r="F19" s="246"/>
    </row>
    <row r="20" spans="1:6">
      <c r="A20" s="202">
        <v>8</v>
      </c>
      <c r="B20" s="199" t="s">
        <v>948</v>
      </c>
      <c r="C20" s="196">
        <v>20</v>
      </c>
      <c r="D20" s="196">
        <f t="shared" si="0"/>
        <v>2</v>
      </c>
      <c r="E20" s="246" t="s">
        <v>951</v>
      </c>
      <c r="F20" s="246"/>
    </row>
    <row r="21" spans="1:6">
      <c r="A21" s="202">
        <v>-8.5</v>
      </c>
      <c r="B21" s="199" t="s">
        <v>948</v>
      </c>
      <c r="C21" s="196" t="s">
        <v>3</v>
      </c>
      <c r="D21" s="196">
        <f t="shared" si="0"/>
        <v>1</v>
      </c>
      <c r="E21" s="246" t="s">
        <v>952</v>
      </c>
      <c r="F21" s="246"/>
    </row>
    <row r="22" spans="1:6" ht="15.75">
      <c r="A22" s="73"/>
      <c r="B22" s="126"/>
      <c r="C22" s="126"/>
    </row>
    <row r="23" spans="1:6" ht="15.75">
      <c r="A23" s="73" t="s">
        <v>454</v>
      </c>
    </row>
    <row r="24" spans="1:6">
      <c r="A24" s="125" t="s">
        <v>947</v>
      </c>
    </row>
    <row r="25" spans="1:6">
      <c r="A25" s="242" t="s">
        <v>953</v>
      </c>
      <c r="B25" s="243"/>
      <c r="C25" s="244"/>
      <c r="D25" s="205" t="s">
        <v>49</v>
      </c>
    </row>
    <row r="26" spans="1:6">
      <c r="A26" s="202">
        <v>3</v>
      </c>
      <c r="B26" s="199"/>
      <c r="C26" s="196">
        <v>3</v>
      </c>
      <c r="D26" s="196">
        <f>COUNT(A26:C26)</f>
        <v>2</v>
      </c>
    </row>
    <row r="27" spans="1:6">
      <c r="A27" s="202" t="s">
        <v>896</v>
      </c>
      <c r="B27" s="199">
        <v>2</v>
      </c>
      <c r="C27" s="196">
        <v>1</v>
      </c>
      <c r="D27" s="221">
        <f t="shared" ref="D27:D29" si="1">COUNT(A27:C27)</f>
        <v>2</v>
      </c>
    </row>
    <row r="28" spans="1:6">
      <c r="A28" s="202" t="s">
        <v>897</v>
      </c>
      <c r="B28" s="199">
        <v>5</v>
      </c>
      <c r="C28" s="196">
        <v>3</v>
      </c>
      <c r="D28" s="221">
        <f t="shared" si="1"/>
        <v>2</v>
      </c>
    </row>
    <row r="29" spans="1:6">
      <c r="A29" s="202">
        <v>1.5</v>
      </c>
      <c r="B29" s="199">
        <v>1</v>
      </c>
      <c r="C29" s="196">
        <v>4.5</v>
      </c>
      <c r="D29" s="221">
        <f t="shared" si="1"/>
        <v>3</v>
      </c>
    </row>
    <row r="30" spans="1:6" ht="15.75">
      <c r="A30" s="73"/>
      <c r="B30" s="126"/>
      <c r="C30" s="126"/>
    </row>
    <row r="31" spans="1:6" ht="15.75">
      <c r="A31" s="73" t="s">
        <v>455</v>
      </c>
    </row>
    <row r="32" spans="1:6">
      <c r="A32" s="206" t="s">
        <v>954</v>
      </c>
    </row>
    <row r="33" spans="1:4">
      <c r="A33" s="242" t="s">
        <v>953</v>
      </c>
      <c r="B33" s="243"/>
      <c r="C33" s="244"/>
      <c r="D33" s="205" t="s">
        <v>49</v>
      </c>
    </row>
    <row r="34" spans="1:4">
      <c r="A34" s="202">
        <v>3</v>
      </c>
      <c r="B34" s="199"/>
      <c r="C34" s="196">
        <v>3</v>
      </c>
      <c r="D34" s="196" t="str">
        <f>IF(COUNT(A34:C34)&gt;=2,"Y","N")</f>
        <v>Y</v>
      </c>
    </row>
    <row r="35" spans="1:4">
      <c r="A35" s="202" t="s">
        <v>896</v>
      </c>
      <c r="B35" s="199">
        <v>2</v>
      </c>
      <c r="C35" s="196">
        <v>1</v>
      </c>
      <c r="D35" s="221" t="str">
        <f t="shared" ref="D35:D37" si="2">IF(COUNT(A35:C35)&gt;=2,"Y","N")</f>
        <v>Y</v>
      </c>
    </row>
    <row r="36" spans="1:4">
      <c r="A36" s="202" t="s">
        <v>897</v>
      </c>
      <c r="B36" s="199">
        <v>5</v>
      </c>
      <c r="C36" s="196">
        <v>3</v>
      </c>
      <c r="D36" s="221" t="str">
        <f t="shared" si="2"/>
        <v>Y</v>
      </c>
    </row>
    <row r="37" spans="1:4">
      <c r="A37" s="202">
        <v>1.5</v>
      </c>
      <c r="B37" s="199"/>
      <c r="C37" s="196" t="s">
        <v>5</v>
      </c>
      <c r="D37" s="221" t="str">
        <f t="shared" si="2"/>
        <v>N</v>
      </c>
    </row>
  </sheetData>
  <mergeCells count="10">
    <mergeCell ref="E20:F20"/>
    <mergeCell ref="E21:F21"/>
    <mergeCell ref="A25:C25"/>
    <mergeCell ref="A33:C33"/>
    <mergeCell ref="A1:B1"/>
    <mergeCell ref="A4:I4"/>
    <mergeCell ref="A17:C17"/>
    <mergeCell ref="E17:F17"/>
    <mergeCell ref="E18:F18"/>
    <mergeCell ref="E19:F19"/>
  </mergeCells>
  <pageMargins left="0.7" right="0.7" top="0.75" bottom="0.75" header="0.3" footer="0.3"/>
  <pageSetup orientation="portrait" horizontalDpi="4294967293" verticalDpi="4294967293"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30"/>
  <sheetViews>
    <sheetView showGridLines="0" zoomScale="90" zoomScaleNormal="90" workbookViewId="0">
      <selection activeCell="F30" sqref="F30"/>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2" customWidth="1"/>
    <col min="9" max="9" width="12.140625" customWidth="1"/>
    <col min="10" max="10" width="11.28515625" customWidth="1"/>
    <col min="11" max="11" width="10.140625" customWidth="1"/>
  </cols>
  <sheetData>
    <row r="1" spans="1:11" ht="32.25" thickBot="1">
      <c r="A1" s="259" t="s">
        <v>196</v>
      </c>
      <c r="B1" s="259"/>
      <c r="C1" s="112"/>
      <c r="D1" s="76"/>
      <c r="E1" s="76"/>
      <c r="F1" s="76"/>
      <c r="G1" s="76"/>
      <c r="H1" s="76"/>
      <c r="I1" s="76"/>
      <c r="J1" s="76"/>
      <c r="K1" s="76"/>
    </row>
    <row r="2" spans="1:11" ht="15.75" thickTop="1"/>
    <row r="3" spans="1:11" ht="18.75">
      <c r="A3" s="74" t="s">
        <v>203</v>
      </c>
    </row>
    <row r="4" spans="1:11" ht="15" customHeight="1">
      <c r="A4" s="260" t="s">
        <v>955</v>
      </c>
      <c r="B4" s="260"/>
      <c r="C4" s="260"/>
      <c r="D4" s="260"/>
      <c r="E4" s="260"/>
      <c r="F4" s="260"/>
      <c r="G4" s="260"/>
      <c r="H4" s="260"/>
      <c r="I4" s="260"/>
    </row>
    <row r="5" spans="1:11">
      <c r="A5" s="201"/>
      <c r="B5" s="201"/>
      <c r="C5" s="201"/>
      <c r="D5" s="201"/>
      <c r="E5" s="201"/>
      <c r="F5" s="201"/>
      <c r="G5" s="201"/>
      <c r="H5" s="201"/>
      <c r="I5" s="201"/>
    </row>
    <row r="6" spans="1:11" ht="18.75">
      <c r="A6" s="74" t="s">
        <v>24</v>
      </c>
    </row>
    <row r="7" spans="1:11" ht="15.75">
      <c r="A7" s="80" t="s">
        <v>956</v>
      </c>
    </row>
    <row r="9" spans="1:11" ht="15.75">
      <c r="A9" s="73" t="s">
        <v>679</v>
      </c>
    </row>
    <row r="10" spans="1:11">
      <c r="A10" t="s">
        <v>957</v>
      </c>
    </row>
    <row r="12" spans="1:11" ht="15.75">
      <c r="A12" s="73" t="s">
        <v>681</v>
      </c>
    </row>
    <row r="13" spans="1:11">
      <c r="A13" t="s">
        <v>958</v>
      </c>
    </row>
    <row r="15" spans="1:11" ht="15.75">
      <c r="A15" s="73" t="s">
        <v>48</v>
      </c>
    </row>
    <row r="16" spans="1:11">
      <c r="A16" s="125" t="s">
        <v>959</v>
      </c>
    </row>
    <row r="17" spans="1:8" s="204" customFormat="1" ht="15" customHeight="1">
      <c r="A17" s="198" t="s">
        <v>304</v>
      </c>
      <c r="B17" s="198" t="s">
        <v>305</v>
      </c>
      <c r="C17" s="198" t="s">
        <v>637</v>
      </c>
      <c r="D17" s="205" t="s">
        <v>654</v>
      </c>
      <c r="E17" s="207" t="s">
        <v>655</v>
      </c>
      <c r="F17" s="207" t="s">
        <v>49</v>
      </c>
      <c r="G17" s="286" t="s">
        <v>217</v>
      </c>
      <c r="H17" s="286"/>
    </row>
    <row r="18" spans="1:8" ht="15" customHeight="1">
      <c r="A18" s="202">
        <v>3</v>
      </c>
      <c r="B18" s="199">
        <v>1</v>
      </c>
      <c r="C18" s="196">
        <v>5</v>
      </c>
      <c r="D18" s="196">
        <v>3</v>
      </c>
      <c r="E18" s="197" t="s">
        <v>960</v>
      </c>
      <c r="F18" s="197">
        <f>COUNTIF(A18:D18,"&gt;1")</f>
        <v>3</v>
      </c>
      <c r="G18" s="246" t="s">
        <v>964</v>
      </c>
      <c r="H18" s="246"/>
    </row>
    <row r="19" spans="1:8" ht="15" customHeight="1">
      <c r="A19" s="202">
        <v>19</v>
      </c>
      <c r="B19" s="199" t="s">
        <v>2</v>
      </c>
      <c r="C19" s="196"/>
      <c r="D19" s="196">
        <v>0</v>
      </c>
      <c r="E19" s="197" t="s">
        <v>961</v>
      </c>
      <c r="F19" s="197">
        <f>COUNTIF(A19:D19,"=0")</f>
        <v>1</v>
      </c>
      <c r="G19" s="246" t="s">
        <v>965</v>
      </c>
      <c r="H19" s="246"/>
    </row>
    <row r="20" spans="1:8" ht="15" customHeight="1">
      <c r="A20" s="202">
        <v>8</v>
      </c>
      <c r="B20" s="199" t="s">
        <v>5</v>
      </c>
      <c r="C20" s="196">
        <v>20</v>
      </c>
      <c r="D20" s="196">
        <v>2</v>
      </c>
      <c r="E20" s="197" t="s">
        <v>962</v>
      </c>
      <c r="F20" s="197">
        <f>COUNTIF(A20:D20,"&gt;=2")</f>
        <v>3</v>
      </c>
      <c r="G20" s="246" t="s">
        <v>966</v>
      </c>
      <c r="H20" s="246"/>
    </row>
    <row r="21" spans="1:8" ht="15" customHeight="1">
      <c r="A21" s="202">
        <v>-8.5</v>
      </c>
      <c r="B21" s="199">
        <v>0</v>
      </c>
      <c r="C21" s="196" t="s">
        <v>3</v>
      </c>
      <c r="D21" s="196">
        <v>-1</v>
      </c>
      <c r="E21" s="197" t="s">
        <v>963</v>
      </c>
      <c r="F21" s="197">
        <f>COUNTIF(A21:D21,"&lt;0")</f>
        <v>2</v>
      </c>
      <c r="G21" s="246" t="s">
        <v>967</v>
      </c>
      <c r="H21" s="246"/>
    </row>
    <row r="22" spans="1:8" ht="15.75">
      <c r="A22" s="73"/>
      <c r="B22" s="126"/>
      <c r="C22" s="126"/>
    </row>
    <row r="23" spans="1:8" ht="15.75">
      <c r="A23" s="73" t="s">
        <v>235</v>
      </c>
    </row>
    <row r="24" spans="1:8">
      <c r="A24" s="125" t="s">
        <v>959</v>
      </c>
    </row>
    <row r="25" spans="1:8" ht="15" customHeight="1">
      <c r="A25" s="198" t="s">
        <v>304</v>
      </c>
      <c r="B25" s="198" t="s">
        <v>305</v>
      </c>
      <c r="C25" s="198" t="s">
        <v>637</v>
      </c>
      <c r="D25" s="205" t="s">
        <v>654</v>
      </c>
      <c r="E25" s="207" t="s">
        <v>655</v>
      </c>
      <c r="F25" s="205" t="s">
        <v>49</v>
      </c>
    </row>
    <row r="26" spans="1:8">
      <c r="A26" s="202">
        <v>1</v>
      </c>
      <c r="B26" s="199">
        <v>-1</v>
      </c>
      <c r="C26" s="196">
        <v>5</v>
      </c>
      <c r="D26" s="196">
        <v>3</v>
      </c>
      <c r="E26" s="197" t="s">
        <v>968</v>
      </c>
      <c r="F26" s="199">
        <f>COUNTIF(A26:D26,"&gt;2")</f>
        <v>2</v>
      </c>
    </row>
    <row r="27" spans="1:8">
      <c r="A27" s="202">
        <v>19</v>
      </c>
      <c r="B27" s="199" t="s">
        <v>2</v>
      </c>
      <c r="C27" s="196"/>
      <c r="D27" s="196">
        <v>0</v>
      </c>
      <c r="E27" s="197" t="s">
        <v>969</v>
      </c>
      <c r="F27" s="222">
        <f>COUNTIF(A27:D27,"&gt;=0")</f>
        <v>2</v>
      </c>
    </row>
    <row r="28" spans="1:8">
      <c r="A28" s="202">
        <v>8</v>
      </c>
      <c r="B28" s="199">
        <v>-50</v>
      </c>
      <c r="C28" s="196">
        <v>20</v>
      </c>
      <c r="D28" s="196">
        <v>2</v>
      </c>
      <c r="E28" s="197" t="s">
        <v>970</v>
      </c>
      <c r="F28" s="222">
        <f>COUNTIF(A28:D28,"&gt;=20")</f>
        <v>1</v>
      </c>
    </row>
    <row r="29" spans="1:8">
      <c r="A29" s="202">
        <v>-8.5</v>
      </c>
      <c r="B29" s="199">
        <v>0</v>
      </c>
      <c r="C29" s="196"/>
      <c r="D29" s="196">
        <v>-1</v>
      </c>
      <c r="E29" s="197" t="s">
        <v>971</v>
      </c>
      <c r="F29" s="222">
        <f>COUNTIF(A29:D29,"&lt;=0")</f>
        <v>3</v>
      </c>
    </row>
    <row r="30" spans="1:8" ht="15.75">
      <c r="A30" s="73"/>
      <c r="B30" s="126"/>
      <c r="C30" s="126"/>
    </row>
  </sheetData>
  <mergeCells count="7">
    <mergeCell ref="G20:H20"/>
    <mergeCell ref="G21:H21"/>
    <mergeCell ref="A1:B1"/>
    <mergeCell ref="A4:I4"/>
    <mergeCell ref="G17:H17"/>
    <mergeCell ref="G18:H18"/>
    <mergeCell ref="G19:H19"/>
  </mergeCells>
  <pageMargins left="0.7" right="0.7" top="0.75" bottom="0.75" header="0.3" footer="0.3"/>
  <pageSetup orientation="portrait" horizontalDpi="4294967293" verticalDpi="4294967293"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K28"/>
  <sheetViews>
    <sheetView showGridLines="0" zoomScale="90" zoomScaleNormal="90" workbookViewId="0">
      <selection activeCell="E24" sqref="E24:E27"/>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2" customWidth="1"/>
    <col min="9" max="9" width="12.140625" customWidth="1"/>
    <col min="10" max="10" width="11.28515625" customWidth="1"/>
    <col min="11" max="11" width="10.140625" customWidth="1"/>
  </cols>
  <sheetData>
    <row r="1" spans="1:11" ht="32.25" thickBot="1">
      <c r="A1" s="259" t="s">
        <v>972</v>
      </c>
      <c r="B1" s="259"/>
      <c r="C1" s="112"/>
      <c r="D1" s="76"/>
      <c r="E1" s="76"/>
      <c r="F1" s="76"/>
      <c r="G1" s="76"/>
      <c r="H1" s="76"/>
      <c r="I1" s="76"/>
      <c r="J1" s="76"/>
      <c r="K1" s="76"/>
    </row>
    <row r="2" spans="1:11" ht="15.75" thickTop="1"/>
    <row r="3" spans="1:11" ht="18.75">
      <c r="A3" s="74" t="s">
        <v>203</v>
      </c>
    </row>
    <row r="4" spans="1:11" ht="15" customHeight="1">
      <c r="A4" s="260" t="s">
        <v>983</v>
      </c>
      <c r="B4" s="260"/>
      <c r="C4" s="260"/>
      <c r="D4" s="260"/>
      <c r="E4" s="260"/>
      <c r="F4" s="260"/>
      <c r="G4" s="260"/>
      <c r="H4" s="260"/>
      <c r="I4" s="260"/>
    </row>
    <row r="5" spans="1:11">
      <c r="A5" s="260"/>
      <c r="B5" s="260"/>
      <c r="C5" s="260"/>
      <c r="D5" s="260"/>
      <c r="E5" s="260"/>
      <c r="F5" s="260"/>
      <c r="G5" s="260"/>
      <c r="H5" s="260"/>
      <c r="I5" s="260"/>
    </row>
    <row r="6" spans="1:11">
      <c r="A6" s="201"/>
      <c r="B6" s="201"/>
      <c r="C6" s="201"/>
      <c r="D6" s="201"/>
      <c r="E6" s="201"/>
      <c r="F6" s="201"/>
      <c r="G6" s="201"/>
      <c r="H6" s="201"/>
      <c r="I6" s="201"/>
    </row>
    <row r="7" spans="1:11" ht="18.75">
      <c r="A7" s="74" t="s">
        <v>24</v>
      </c>
    </row>
    <row r="8" spans="1:11" ht="15.75">
      <c r="A8" s="80" t="s">
        <v>973</v>
      </c>
    </row>
    <row r="10" spans="1:11" ht="15.75">
      <c r="A10" s="73" t="s">
        <v>974</v>
      </c>
    </row>
    <row r="11" spans="1:11">
      <c r="A11" t="s">
        <v>975</v>
      </c>
    </row>
    <row r="13" spans="1:11" ht="15.75">
      <c r="A13" s="73" t="s">
        <v>48</v>
      </c>
    </row>
    <row r="14" spans="1:11">
      <c r="A14" s="125" t="s">
        <v>976</v>
      </c>
    </row>
    <row r="15" spans="1:11" s="204" customFormat="1" ht="15" customHeight="1">
      <c r="A15" s="242" t="s">
        <v>977</v>
      </c>
      <c r="B15" s="243"/>
      <c r="C15" s="243"/>
      <c r="D15" s="244"/>
      <c r="E15" s="207" t="s">
        <v>978</v>
      </c>
      <c r="F15" s="286" t="s">
        <v>217</v>
      </c>
      <c r="G15" s="286"/>
    </row>
    <row r="16" spans="1:11" ht="15" customHeight="1">
      <c r="A16" s="202">
        <v>42</v>
      </c>
      <c r="B16" s="199">
        <v>45</v>
      </c>
      <c r="C16" s="196">
        <v>20</v>
      </c>
      <c r="D16" s="196">
        <v>22</v>
      </c>
      <c r="E16" s="197">
        <f>_xlfn.STDEV.S(A16:D16)</f>
        <v>13.073510112692254</v>
      </c>
      <c r="F16" s="246" t="s">
        <v>979</v>
      </c>
      <c r="G16" s="246"/>
    </row>
    <row r="17" spans="1:7" ht="15" customHeight="1">
      <c r="A17" s="202">
        <v>27</v>
      </c>
      <c r="B17" s="199">
        <v>10</v>
      </c>
      <c r="C17" s="196">
        <v>34</v>
      </c>
      <c r="D17" s="196">
        <v>50</v>
      </c>
      <c r="E17" s="197">
        <f t="shared" ref="E17:E19" si="0">_xlfn.STDEV.S(A17:D17)</f>
        <v>16.580611166861935</v>
      </c>
      <c r="F17" s="246" t="s">
        <v>980</v>
      </c>
      <c r="G17" s="246"/>
    </row>
    <row r="18" spans="1:7" ht="15" customHeight="1">
      <c r="A18" s="202">
        <v>26</v>
      </c>
      <c r="B18" s="199">
        <v>32</v>
      </c>
      <c r="C18" s="196">
        <v>11</v>
      </c>
      <c r="D18" s="196">
        <v>26</v>
      </c>
      <c r="E18" s="197">
        <f t="shared" si="0"/>
        <v>8.9582364335844584</v>
      </c>
      <c r="F18" s="246" t="s">
        <v>981</v>
      </c>
      <c r="G18" s="246"/>
    </row>
    <row r="19" spans="1:7" ht="15" customHeight="1">
      <c r="A19" s="202">
        <v>42</v>
      </c>
      <c r="B19" s="199">
        <v>40</v>
      </c>
      <c r="C19" s="196">
        <v>47</v>
      </c>
      <c r="D19" s="196">
        <v>47</v>
      </c>
      <c r="E19" s="197">
        <f t="shared" si="0"/>
        <v>3.5590260840104371</v>
      </c>
      <c r="F19" s="246" t="s">
        <v>982</v>
      </c>
      <c r="G19" s="246"/>
    </row>
    <row r="20" spans="1:7" ht="15.75">
      <c r="A20" s="73"/>
      <c r="B20" s="126"/>
      <c r="C20" s="126"/>
    </row>
    <row r="21" spans="1:7" ht="15.75">
      <c r="A21" s="73" t="s">
        <v>235</v>
      </c>
    </row>
    <row r="22" spans="1:7">
      <c r="A22" s="125" t="s">
        <v>976</v>
      </c>
    </row>
    <row r="23" spans="1:7" ht="15" customHeight="1">
      <c r="A23" s="242" t="s">
        <v>977</v>
      </c>
      <c r="B23" s="243"/>
      <c r="C23" s="243"/>
      <c r="D23" s="244"/>
      <c r="E23" s="205" t="s">
        <v>49</v>
      </c>
    </row>
    <row r="24" spans="1:7">
      <c r="A24" s="202">
        <v>7</v>
      </c>
      <c r="B24" s="202">
        <v>7</v>
      </c>
      <c r="C24" s="202">
        <v>2</v>
      </c>
      <c r="D24" s="202">
        <v>3</v>
      </c>
      <c r="E24" s="199">
        <f>_xlfn.STDEV.S(A24:D24)</f>
        <v>2.6299556396765835</v>
      </c>
    </row>
    <row r="25" spans="1:7">
      <c r="A25" s="202">
        <v>1</v>
      </c>
      <c r="B25" s="202">
        <v>2</v>
      </c>
      <c r="C25" s="202">
        <v>1</v>
      </c>
      <c r="D25" s="202">
        <v>6</v>
      </c>
      <c r="E25" s="222">
        <f t="shared" ref="E25:E27" si="1">_xlfn.STDEV.S(A25:D25)</f>
        <v>2.3804761428476167</v>
      </c>
    </row>
    <row r="26" spans="1:7">
      <c r="A26" s="202">
        <v>5</v>
      </c>
      <c r="B26" s="202">
        <v>8</v>
      </c>
      <c r="C26" s="202">
        <v>8</v>
      </c>
      <c r="D26" s="202">
        <v>6</v>
      </c>
      <c r="E26" s="222">
        <f t="shared" si="1"/>
        <v>1.5</v>
      </c>
    </row>
    <row r="27" spans="1:7">
      <c r="A27" s="202">
        <v>5</v>
      </c>
      <c r="B27" s="202">
        <v>8</v>
      </c>
      <c r="C27" s="202">
        <v>7</v>
      </c>
      <c r="D27" s="202">
        <v>4</v>
      </c>
      <c r="E27" s="222">
        <f t="shared" si="1"/>
        <v>1.8257418583505538</v>
      </c>
    </row>
    <row r="28" spans="1:7" ht="15.75">
      <c r="A28" s="73"/>
      <c r="B28" s="126"/>
      <c r="C28" s="126"/>
    </row>
  </sheetData>
  <mergeCells count="9">
    <mergeCell ref="F19:G19"/>
    <mergeCell ref="A15:D15"/>
    <mergeCell ref="A4:I5"/>
    <mergeCell ref="A23:D23"/>
    <mergeCell ref="A1:B1"/>
    <mergeCell ref="F15:G15"/>
    <mergeCell ref="F16:G16"/>
    <mergeCell ref="F17:G17"/>
    <mergeCell ref="F18:G18"/>
  </mergeCells>
  <pageMargins left="0.7" right="0.7" top="0.75" bottom="0.75" header="0.3" footer="0.3"/>
  <pageSetup orientation="portrait" horizontalDpi="4294967293" vertic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42"/>
  <sheetViews>
    <sheetView showGridLines="0" topLeftCell="A10" zoomScale="90" zoomScaleNormal="90" workbookViewId="0">
      <selection activeCell="D39" sqref="D39"/>
    </sheetView>
  </sheetViews>
  <sheetFormatPr defaultRowHeight="15"/>
  <cols>
    <col min="1" max="1" width="11" customWidth="1"/>
    <col min="2" max="2" width="12.85546875" customWidth="1"/>
    <col min="3" max="3" width="10.140625" customWidth="1"/>
    <col min="4" max="4" width="15.42578125" customWidth="1"/>
    <col min="5" max="5" width="15.85546875" customWidth="1"/>
    <col min="7" max="7" width="10.28515625" customWidth="1"/>
    <col min="8" max="8" width="10" customWidth="1"/>
    <col min="10" max="10" width="10.140625" customWidth="1"/>
    <col min="11" max="11" width="11.28515625" customWidth="1"/>
    <col min="12" max="12" width="10.140625" customWidth="1"/>
  </cols>
  <sheetData>
    <row r="1" spans="1:12" ht="32.25" thickBot="1">
      <c r="A1" s="247" t="s">
        <v>159</v>
      </c>
      <c r="B1" s="247"/>
      <c r="C1" s="76"/>
      <c r="D1" s="76"/>
      <c r="E1" s="76"/>
      <c r="F1" s="76"/>
      <c r="G1" s="76"/>
      <c r="H1" s="76"/>
      <c r="I1" s="76"/>
      <c r="J1" s="76"/>
      <c r="K1" s="76"/>
      <c r="L1" s="76"/>
    </row>
    <row r="2" spans="1:12" ht="15.75" thickTop="1"/>
    <row r="3" spans="1:12" ht="18.75">
      <c r="A3" s="74" t="s">
        <v>203</v>
      </c>
    </row>
    <row r="4" spans="1:12">
      <c r="A4" s="227" t="s">
        <v>296</v>
      </c>
      <c r="B4" s="227"/>
      <c r="C4" s="227"/>
      <c r="D4" s="227"/>
      <c r="E4" s="227"/>
      <c r="F4" s="227"/>
      <c r="G4" s="227"/>
      <c r="H4" s="227"/>
      <c r="I4" s="227"/>
      <c r="J4" s="227"/>
    </row>
    <row r="5" spans="1:12">
      <c r="A5" s="227"/>
      <c r="B5" s="227"/>
      <c r="C5" s="227"/>
      <c r="D5" s="227"/>
      <c r="E5" s="227"/>
      <c r="F5" s="227"/>
      <c r="G5" s="227"/>
      <c r="H5" s="227"/>
      <c r="I5" s="227"/>
      <c r="J5" s="227"/>
    </row>
    <row r="6" spans="1:12">
      <c r="A6" s="91"/>
      <c r="B6" s="91"/>
      <c r="C6" s="91"/>
      <c r="D6" s="91"/>
      <c r="E6" s="91"/>
      <c r="F6" s="91"/>
      <c r="G6" s="91"/>
      <c r="H6" s="91"/>
      <c r="I6" s="91"/>
      <c r="J6" s="91"/>
    </row>
    <row r="7" spans="1:12" ht="18.75">
      <c r="A7" s="74" t="s">
        <v>24</v>
      </c>
    </row>
    <row r="8" spans="1:12" ht="15.75">
      <c r="A8" s="80" t="s">
        <v>292</v>
      </c>
    </row>
    <row r="10" spans="1:12" ht="15.75">
      <c r="A10" s="73" t="s">
        <v>240</v>
      </c>
    </row>
    <row r="11" spans="1:12">
      <c r="A11" t="s">
        <v>293</v>
      </c>
    </row>
    <row r="13" spans="1:12" ht="15.75">
      <c r="A13" s="73" t="s">
        <v>295</v>
      </c>
    </row>
    <row r="14" spans="1:12">
      <c r="A14" t="s">
        <v>294</v>
      </c>
    </row>
    <row r="16" spans="1:12" ht="15.75">
      <c r="A16" s="73" t="s">
        <v>44</v>
      </c>
    </row>
    <row r="17" spans="1:13">
      <c r="A17" t="s">
        <v>297</v>
      </c>
    </row>
    <row r="18" spans="1:13">
      <c r="A18" s="85" t="s">
        <v>304</v>
      </c>
      <c r="B18" s="85" t="s">
        <v>305</v>
      </c>
      <c r="C18" s="245" t="s">
        <v>300</v>
      </c>
      <c r="D18" s="245"/>
      <c r="E18" s="252" t="s">
        <v>301</v>
      </c>
      <c r="F18" s="253"/>
      <c r="G18" s="253"/>
      <c r="H18" s="254"/>
    </row>
    <row r="19" spans="1:13">
      <c r="A19" s="95">
        <v>1</v>
      </c>
      <c r="B19" s="95">
        <v>2</v>
      </c>
      <c r="C19" s="99">
        <f>A19/B19</f>
        <v>0.5</v>
      </c>
      <c r="D19" s="77" t="s">
        <v>298</v>
      </c>
      <c r="E19" s="77">
        <f>IFERROR(A19/B19,999)</f>
        <v>0.5</v>
      </c>
      <c r="F19" s="248" t="s">
        <v>302</v>
      </c>
      <c r="G19" s="249"/>
      <c r="H19" s="250"/>
    </row>
    <row r="20" spans="1:13">
      <c r="A20" s="95">
        <v>1</v>
      </c>
      <c r="B20" s="95">
        <v>0</v>
      </c>
      <c r="C20" s="101" t="e">
        <f>A20/B20</f>
        <v>#DIV/0!</v>
      </c>
      <c r="D20" s="77" t="s">
        <v>299</v>
      </c>
      <c r="E20" s="100">
        <f>IFERROR(A20/B20,999)</f>
        <v>999</v>
      </c>
      <c r="F20" s="251" t="s">
        <v>303</v>
      </c>
      <c r="G20" s="251"/>
      <c r="H20" s="251"/>
    </row>
    <row r="21" spans="1:13" ht="15.75">
      <c r="A21" s="73"/>
    </row>
    <row r="22" spans="1:13" ht="15.75">
      <c r="A22" s="73" t="s">
        <v>156</v>
      </c>
    </row>
    <row r="23" spans="1:13">
      <c r="A23" s="227" t="s">
        <v>315</v>
      </c>
      <c r="B23" s="227"/>
      <c r="C23" s="227"/>
      <c r="D23" s="227"/>
      <c r="E23" s="227"/>
      <c r="F23" s="227"/>
      <c r="G23" s="227"/>
      <c r="H23" s="227"/>
      <c r="I23" s="227"/>
      <c r="J23" s="227"/>
    </row>
    <row r="24" spans="1:13" ht="15.75" customHeight="1">
      <c r="A24" s="227"/>
      <c r="B24" s="227"/>
      <c r="C24" s="227"/>
      <c r="D24" s="227"/>
      <c r="E24" s="227"/>
      <c r="F24" s="227"/>
      <c r="G24" s="227"/>
      <c r="H24" s="227"/>
      <c r="I24" s="227"/>
      <c r="J24" s="227"/>
    </row>
    <row r="25" spans="1:13" ht="15.75">
      <c r="A25" s="73"/>
    </row>
    <row r="26" spans="1:13" ht="15.75">
      <c r="A26" s="73" t="s">
        <v>78</v>
      </c>
    </row>
    <row r="27" spans="1:13">
      <c r="A27" t="s">
        <v>297</v>
      </c>
    </row>
    <row r="28" spans="1:13">
      <c r="A28" s="85" t="s">
        <v>304</v>
      </c>
      <c r="B28" s="85" t="s">
        <v>305</v>
      </c>
      <c r="C28" s="245" t="s">
        <v>300</v>
      </c>
      <c r="D28" s="245"/>
      <c r="E28" s="245" t="s">
        <v>301</v>
      </c>
      <c r="F28" s="245"/>
      <c r="G28" s="245"/>
      <c r="H28" s="245"/>
      <c r="I28" s="245"/>
    </row>
    <row r="29" spans="1:13">
      <c r="A29" s="95">
        <v>1</v>
      </c>
      <c r="B29" s="95">
        <v>2</v>
      </c>
      <c r="C29" s="99">
        <f>A29*B29</f>
        <v>2</v>
      </c>
      <c r="D29" s="77" t="s">
        <v>307</v>
      </c>
      <c r="E29" s="77">
        <f>IFERROR(A29*B29,"DATA IS WRONG")</f>
        <v>2</v>
      </c>
      <c r="F29" s="246" t="s">
        <v>311</v>
      </c>
      <c r="G29" s="246"/>
      <c r="H29" s="246"/>
      <c r="I29" s="246"/>
    </row>
    <row r="30" spans="1:13">
      <c r="A30" s="95">
        <v>1</v>
      </c>
      <c r="B30" s="95">
        <v>1</v>
      </c>
      <c r="C30" s="99">
        <f t="shared" ref="C30:C32" si="0">A30*B30</f>
        <v>1</v>
      </c>
      <c r="D30" s="77" t="s">
        <v>308</v>
      </c>
      <c r="E30" s="77">
        <f t="shared" ref="E30:E32" si="1">IFERROR(A30*B30,"DATA IS WRONG")</f>
        <v>1</v>
      </c>
      <c r="F30" s="246" t="s">
        <v>312</v>
      </c>
      <c r="G30" s="246"/>
      <c r="H30" s="246"/>
      <c r="I30" s="246"/>
    </row>
    <row r="31" spans="1:13">
      <c r="A31" s="95">
        <v>1</v>
      </c>
      <c r="B31" s="95" t="s">
        <v>306</v>
      </c>
      <c r="C31" s="101" t="e">
        <f t="shared" si="0"/>
        <v>#VALUE!</v>
      </c>
      <c r="D31" s="77" t="s">
        <v>309</v>
      </c>
      <c r="E31" s="100" t="str">
        <f t="shared" si="1"/>
        <v>DATA IS WRONG</v>
      </c>
      <c r="F31" s="246" t="s">
        <v>313</v>
      </c>
      <c r="G31" s="246"/>
      <c r="H31" s="246"/>
      <c r="I31" s="246"/>
    </row>
    <row r="32" spans="1:13">
      <c r="A32" s="95">
        <v>5</v>
      </c>
      <c r="B32" s="95" t="s">
        <v>306</v>
      </c>
      <c r="C32" s="101" t="e">
        <f t="shared" si="0"/>
        <v>#VALUE!</v>
      </c>
      <c r="D32" s="77" t="s">
        <v>310</v>
      </c>
      <c r="E32" s="100" t="str">
        <f t="shared" si="1"/>
        <v>DATA IS WRONG</v>
      </c>
      <c r="F32" s="246" t="s">
        <v>314</v>
      </c>
      <c r="G32" s="246"/>
      <c r="H32" s="246"/>
      <c r="I32" s="246"/>
      <c r="K32" s="241" t="s">
        <v>316</v>
      </c>
      <c r="L32" s="241"/>
      <c r="M32" s="241"/>
    </row>
    <row r="33" spans="1:13" ht="15.75">
      <c r="A33" s="73"/>
      <c r="K33" s="241"/>
      <c r="L33" s="241"/>
      <c r="M33" s="241"/>
    </row>
    <row r="34" spans="1:13" ht="15.75">
      <c r="A34" s="73"/>
      <c r="K34" s="241"/>
      <c r="L34" s="241"/>
      <c r="M34" s="241"/>
    </row>
    <row r="35" spans="1:13" ht="15.75">
      <c r="A35" s="73" t="s">
        <v>235</v>
      </c>
    </row>
    <row r="36" spans="1:13" ht="15" customHeight="1">
      <c r="A36" s="227" t="s">
        <v>319</v>
      </c>
      <c r="B36" s="227"/>
      <c r="C36" s="227"/>
      <c r="D36" s="227"/>
      <c r="E36" s="227"/>
      <c r="F36" s="227"/>
      <c r="G36" s="227"/>
      <c r="H36" s="227"/>
      <c r="I36" s="227"/>
      <c r="J36" s="227"/>
    </row>
    <row r="37" spans="1:13">
      <c r="A37" s="227"/>
      <c r="B37" s="227"/>
      <c r="C37" s="227"/>
      <c r="D37" s="227"/>
      <c r="E37" s="227"/>
      <c r="F37" s="227"/>
      <c r="G37" s="227"/>
      <c r="H37" s="227"/>
      <c r="I37" s="227"/>
      <c r="J37" s="227"/>
    </row>
    <row r="38" spans="1:13" ht="37.5" customHeight="1">
      <c r="A38" s="97" t="s">
        <v>219</v>
      </c>
      <c r="B38" s="97" t="s">
        <v>224</v>
      </c>
      <c r="C38" s="94" t="s">
        <v>317</v>
      </c>
      <c r="D38" s="94" t="s">
        <v>326</v>
      </c>
    </row>
    <row r="39" spans="1:13">
      <c r="A39" s="77" t="s">
        <v>220</v>
      </c>
      <c r="B39" s="77" t="s">
        <v>225</v>
      </c>
      <c r="C39" s="102">
        <v>80000</v>
      </c>
      <c r="D39" s="219">
        <f>IFERROR(C39/12,"ERROR IN SALARY")</f>
        <v>6666.666666666667</v>
      </c>
    </row>
    <row r="40" spans="1:13">
      <c r="A40" s="77" t="s">
        <v>221</v>
      </c>
      <c r="B40" s="77" t="s">
        <v>226</v>
      </c>
      <c r="C40" s="102">
        <v>50000</v>
      </c>
      <c r="D40" s="219">
        <f t="shared" ref="D40:D42" si="2">IFERROR(C40/12,"ERROR IN SALARY")</f>
        <v>4166.666666666667</v>
      </c>
    </row>
    <row r="41" spans="1:13">
      <c r="A41" s="77" t="s">
        <v>222</v>
      </c>
      <c r="B41" s="77" t="s">
        <v>226</v>
      </c>
      <c r="C41" s="89" t="s">
        <v>318</v>
      </c>
      <c r="D41" s="219" t="str">
        <f t="shared" si="2"/>
        <v>ERROR IN SALARY</v>
      </c>
    </row>
    <row r="42" spans="1:13">
      <c r="A42" s="77" t="s">
        <v>223</v>
      </c>
      <c r="B42" s="77" t="s">
        <v>226</v>
      </c>
      <c r="C42" s="102">
        <v>40000</v>
      </c>
      <c r="D42" s="219">
        <f t="shared" si="2"/>
        <v>3333.3333333333335</v>
      </c>
    </row>
  </sheetData>
  <mergeCells count="15">
    <mergeCell ref="A36:J37"/>
    <mergeCell ref="A1:B1"/>
    <mergeCell ref="C18:D18"/>
    <mergeCell ref="A4:J5"/>
    <mergeCell ref="F19:H19"/>
    <mergeCell ref="F20:H20"/>
    <mergeCell ref="E18:H18"/>
    <mergeCell ref="A23:J24"/>
    <mergeCell ref="E28:I28"/>
    <mergeCell ref="K32:M34"/>
    <mergeCell ref="C28:D28"/>
    <mergeCell ref="F29:I29"/>
    <mergeCell ref="F30:I30"/>
    <mergeCell ref="F31:I31"/>
    <mergeCell ref="F32:I32"/>
  </mergeCells>
  <pageMargins left="0.7" right="0.7" top="0.75" bottom="0.75" header="0.3" footer="0.3"/>
  <pageSetup orientation="portrait" horizontalDpi="4294967293" verticalDpi="4294967293"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K40"/>
  <sheetViews>
    <sheetView showGridLines="0" topLeftCell="A11" zoomScale="90" zoomScaleNormal="90" workbookViewId="0">
      <selection activeCell="N41" sqref="N41"/>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2" customWidth="1"/>
    <col min="9" max="9" width="12.140625" customWidth="1"/>
    <col min="10" max="10" width="11.28515625" customWidth="1"/>
    <col min="11" max="11" width="10.140625" customWidth="1"/>
  </cols>
  <sheetData>
    <row r="1" spans="1:11" ht="32.25" thickBot="1">
      <c r="A1" s="259" t="s">
        <v>197</v>
      </c>
      <c r="B1" s="259"/>
      <c r="C1" s="112"/>
      <c r="D1" s="76"/>
      <c r="E1" s="76"/>
      <c r="F1" s="76"/>
      <c r="G1" s="76"/>
      <c r="H1" s="76"/>
      <c r="I1" s="76"/>
      <c r="J1" s="76"/>
      <c r="K1" s="76"/>
    </row>
    <row r="2" spans="1:11" ht="15.75" thickTop="1"/>
    <row r="3" spans="1:11" ht="18.75">
      <c r="A3" s="74" t="s">
        <v>203</v>
      </c>
    </row>
    <row r="4" spans="1:11" ht="15" customHeight="1">
      <c r="A4" s="260" t="s">
        <v>984</v>
      </c>
      <c r="B4" s="260"/>
      <c r="C4" s="260"/>
      <c r="D4" s="260"/>
      <c r="E4" s="260"/>
      <c r="F4" s="260"/>
      <c r="G4" s="260"/>
      <c r="H4" s="260"/>
      <c r="I4" s="260"/>
    </row>
    <row r="5" spans="1:11">
      <c r="A5" s="260"/>
      <c r="B5" s="260"/>
      <c r="C5" s="260"/>
      <c r="D5" s="260"/>
      <c r="E5" s="260"/>
      <c r="F5" s="260"/>
      <c r="G5" s="260"/>
      <c r="H5" s="260"/>
      <c r="I5" s="260"/>
    </row>
    <row r="6" spans="1:11">
      <c r="A6" s="260"/>
      <c r="B6" s="260"/>
      <c r="C6" s="260"/>
      <c r="D6" s="260"/>
      <c r="E6" s="260"/>
      <c r="F6" s="260"/>
      <c r="G6" s="260"/>
      <c r="H6" s="260"/>
      <c r="I6" s="260"/>
    </row>
    <row r="7" spans="1:11">
      <c r="A7" s="201"/>
      <c r="B7" s="201"/>
      <c r="C7" s="201"/>
      <c r="D7" s="201"/>
      <c r="E7" s="201"/>
      <c r="F7" s="201"/>
      <c r="G7" s="201"/>
      <c r="H7" s="201"/>
      <c r="I7" s="201"/>
    </row>
    <row r="8" spans="1:11" ht="18.75">
      <c r="A8" s="74" t="s">
        <v>24</v>
      </c>
    </row>
    <row r="9" spans="1:11" ht="15.75">
      <c r="A9" s="80" t="s">
        <v>1057</v>
      </c>
    </row>
    <row r="11" spans="1:11" ht="15.75">
      <c r="A11" s="73" t="s">
        <v>985</v>
      </c>
    </row>
    <row r="12" spans="1:11">
      <c r="A12" t="s">
        <v>986</v>
      </c>
    </row>
    <row r="14" spans="1:11" ht="15.75">
      <c r="A14" s="73" t="s">
        <v>48</v>
      </c>
    </row>
    <row r="15" spans="1:11">
      <c r="A15" s="125" t="s">
        <v>992</v>
      </c>
    </row>
    <row r="16" spans="1:11" s="204" customFormat="1" ht="15" customHeight="1">
      <c r="A16" s="198" t="s">
        <v>987</v>
      </c>
      <c r="B16" s="198" t="s">
        <v>989</v>
      </c>
      <c r="D16" s="198" t="s">
        <v>990</v>
      </c>
      <c r="E16" s="241" t="s">
        <v>217</v>
      </c>
      <c r="F16" s="241"/>
    </row>
    <row r="17" spans="1:6" ht="15" customHeight="1">
      <c r="A17" s="202">
        <v>1</v>
      </c>
      <c r="B17" s="199">
        <v>5</v>
      </c>
      <c r="D17" s="199">
        <f>CORREL(A17:A26,B17:B26)</f>
        <v>0.99302351494545493</v>
      </c>
      <c r="E17" s="246" t="s">
        <v>991</v>
      </c>
      <c r="F17" s="246"/>
    </row>
    <row r="18" spans="1:6" ht="15" customHeight="1">
      <c r="A18" s="202">
        <v>2</v>
      </c>
      <c r="B18" s="199">
        <v>14</v>
      </c>
    </row>
    <row r="19" spans="1:6" ht="15" customHeight="1">
      <c r="A19" s="202">
        <v>3</v>
      </c>
      <c r="B19" s="199">
        <v>15</v>
      </c>
    </row>
    <row r="20" spans="1:6" ht="15" customHeight="1">
      <c r="A20" s="202">
        <v>4</v>
      </c>
      <c r="B20" s="199">
        <v>20</v>
      </c>
    </row>
    <row r="21" spans="1:6">
      <c r="A21" s="199">
        <v>5</v>
      </c>
      <c r="B21" s="199">
        <v>24</v>
      </c>
      <c r="C21" s="126"/>
    </row>
    <row r="22" spans="1:6">
      <c r="A22" s="199">
        <v>6</v>
      </c>
      <c r="B22" s="199">
        <v>30</v>
      </c>
    </row>
    <row r="23" spans="1:6">
      <c r="A23" s="199">
        <v>7</v>
      </c>
      <c r="B23" s="199">
        <v>35</v>
      </c>
    </row>
    <row r="24" spans="1:6">
      <c r="A24" s="199">
        <v>8</v>
      </c>
      <c r="B24" s="199">
        <v>38</v>
      </c>
    </row>
    <row r="25" spans="1:6">
      <c r="A25" s="199">
        <v>9</v>
      </c>
      <c r="B25" s="199">
        <v>40</v>
      </c>
    </row>
    <row r="26" spans="1:6">
      <c r="A26" s="199">
        <v>10</v>
      </c>
      <c r="B26" s="199">
        <v>45</v>
      </c>
    </row>
    <row r="28" spans="1:6" ht="15.75">
      <c r="A28" s="73" t="s">
        <v>235</v>
      </c>
    </row>
    <row r="29" spans="1:6">
      <c r="A29" s="125" t="s">
        <v>993</v>
      </c>
    </row>
    <row r="30" spans="1:6">
      <c r="A30" s="198" t="s">
        <v>987</v>
      </c>
      <c r="B30" s="198" t="s">
        <v>988</v>
      </c>
    </row>
    <row r="31" spans="1:6">
      <c r="A31" s="202">
        <v>1</v>
      </c>
      <c r="B31" s="199">
        <v>20</v>
      </c>
    </row>
    <row r="32" spans="1:6">
      <c r="A32" s="202">
        <v>2</v>
      </c>
      <c r="B32" s="199">
        <v>35</v>
      </c>
    </row>
    <row r="33" spans="1:2">
      <c r="A33" s="202">
        <v>3</v>
      </c>
      <c r="B33" s="199">
        <v>45</v>
      </c>
    </row>
    <row r="34" spans="1:2">
      <c r="A34" s="202">
        <v>4</v>
      </c>
      <c r="B34" s="199">
        <v>60</v>
      </c>
    </row>
    <row r="35" spans="1:2">
      <c r="A35" s="199">
        <v>5</v>
      </c>
      <c r="B35" s="199">
        <v>80</v>
      </c>
    </row>
    <row r="36" spans="1:2">
      <c r="A36" s="199">
        <v>6</v>
      </c>
      <c r="B36" s="199">
        <v>100</v>
      </c>
    </row>
    <row r="37" spans="1:2">
      <c r="A37" s="199">
        <v>7</v>
      </c>
      <c r="B37" s="199">
        <v>120</v>
      </c>
    </row>
    <row r="38" spans="1:2">
      <c r="A38" s="199">
        <v>8</v>
      </c>
      <c r="B38" s="199">
        <v>122</v>
      </c>
    </row>
    <row r="39" spans="1:2">
      <c r="A39" s="199">
        <v>9</v>
      </c>
      <c r="B39" s="199">
        <v>125</v>
      </c>
    </row>
    <row r="40" spans="1:2">
      <c r="A40" s="199">
        <v>10</v>
      </c>
      <c r="B40" s="199">
        <v>135</v>
      </c>
    </row>
  </sheetData>
  <mergeCells count="4">
    <mergeCell ref="E17:F17"/>
    <mergeCell ref="E16:F16"/>
    <mergeCell ref="A1:B1"/>
    <mergeCell ref="A4:I6"/>
  </mergeCells>
  <pageMargins left="0.7" right="0.7" top="0.75" bottom="0.75" header="0.3" footer="0.3"/>
  <pageSetup orientation="portrait" horizontalDpi="4294967293" verticalDpi="4294967293"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K35"/>
  <sheetViews>
    <sheetView showGridLines="0" zoomScale="90" zoomScaleNormal="90" workbookViewId="0">
      <selection activeCell="J15" sqref="J15:K15"/>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2" customWidth="1"/>
    <col min="9" max="9" width="12.140625" customWidth="1"/>
    <col min="10" max="10" width="11.28515625" customWidth="1"/>
    <col min="11" max="11" width="10.140625" customWidth="1"/>
  </cols>
  <sheetData>
    <row r="1" spans="1:11" ht="32.25" thickBot="1">
      <c r="A1" s="259" t="s">
        <v>198</v>
      </c>
      <c r="B1" s="259"/>
      <c r="C1" s="112"/>
      <c r="D1" s="76"/>
      <c r="E1" s="76"/>
      <c r="F1" s="76"/>
      <c r="G1" s="76"/>
      <c r="H1" s="76"/>
      <c r="I1" s="76"/>
      <c r="J1" s="76"/>
      <c r="K1" s="76"/>
    </row>
    <row r="2" spans="1:11" ht="15.75" thickTop="1"/>
    <row r="3" spans="1:11" ht="18.75">
      <c r="A3" s="74" t="s">
        <v>203</v>
      </c>
    </row>
    <row r="4" spans="1:11" ht="15" customHeight="1">
      <c r="A4" s="260" t="s">
        <v>994</v>
      </c>
      <c r="B4" s="260"/>
      <c r="C4" s="260"/>
      <c r="D4" s="260"/>
      <c r="E4" s="260"/>
      <c r="F4" s="260"/>
      <c r="G4" s="260"/>
      <c r="H4" s="260"/>
      <c r="I4" s="260"/>
    </row>
    <row r="5" spans="1:11">
      <c r="A5" s="201"/>
      <c r="B5" s="201"/>
      <c r="C5" s="201"/>
      <c r="D5" s="201"/>
      <c r="E5" s="201"/>
      <c r="F5" s="201"/>
      <c r="G5" s="201"/>
      <c r="H5" s="201"/>
      <c r="I5" s="201"/>
    </row>
    <row r="6" spans="1:11" ht="18.75">
      <c r="A6" s="74" t="s">
        <v>24</v>
      </c>
    </row>
    <row r="7" spans="1:11" ht="15.75">
      <c r="A7" s="80" t="s">
        <v>995</v>
      </c>
    </row>
    <row r="9" spans="1:11" ht="15.75">
      <c r="A9" s="73" t="s">
        <v>996</v>
      </c>
    </row>
    <row r="10" spans="1:11">
      <c r="A10" t="s">
        <v>997</v>
      </c>
    </row>
    <row r="12" spans="1:11" ht="15.75">
      <c r="A12" s="73" t="s">
        <v>48</v>
      </c>
    </row>
    <row r="13" spans="1:11">
      <c r="A13" s="125" t="s">
        <v>998</v>
      </c>
    </row>
    <row r="14" spans="1:11" s="204" customFormat="1" ht="15" customHeight="1">
      <c r="A14" s="198" t="s">
        <v>1003</v>
      </c>
      <c r="C14" s="198" t="s">
        <v>999</v>
      </c>
      <c r="D14" s="241" t="s">
        <v>217</v>
      </c>
      <c r="E14" s="241"/>
      <c r="G14" s="198" t="s">
        <v>1004</v>
      </c>
      <c r="I14" s="198" t="s">
        <v>999</v>
      </c>
      <c r="J14" s="241" t="s">
        <v>217</v>
      </c>
      <c r="K14" s="241"/>
    </row>
    <row r="15" spans="1:11" ht="15" customHeight="1">
      <c r="A15" s="202">
        <v>89</v>
      </c>
      <c r="C15" s="199">
        <f>MEDIAN(A15:A35)</f>
        <v>84</v>
      </c>
      <c r="D15" s="246" t="s">
        <v>1000</v>
      </c>
      <c r="E15" s="246"/>
      <c r="G15" s="202">
        <v>94</v>
      </c>
      <c r="I15" s="199">
        <f>MEDIAN(G15:G34)</f>
        <v>82</v>
      </c>
      <c r="J15" s="246" t="s">
        <v>1001</v>
      </c>
      <c r="K15" s="246"/>
    </row>
    <row r="16" spans="1:11" ht="15" customHeight="1">
      <c r="A16" s="202">
        <v>91</v>
      </c>
      <c r="G16" s="202">
        <v>57</v>
      </c>
    </row>
    <row r="17" spans="1:7" ht="15" customHeight="1">
      <c r="A17" s="202">
        <v>65</v>
      </c>
      <c r="C17" s="287" t="s">
        <v>1002</v>
      </c>
      <c r="D17" s="288"/>
      <c r="E17" s="289"/>
      <c r="G17" s="202">
        <v>80</v>
      </c>
    </row>
    <row r="18" spans="1:7" ht="15" customHeight="1">
      <c r="A18" s="202">
        <v>59</v>
      </c>
      <c r="C18" s="290"/>
      <c r="D18" s="291"/>
      <c r="E18" s="292"/>
      <c r="G18" s="202">
        <v>91</v>
      </c>
    </row>
    <row r="19" spans="1:7">
      <c r="A19" s="199">
        <v>60</v>
      </c>
      <c r="B19" s="126"/>
      <c r="C19" s="290"/>
      <c r="D19" s="291"/>
      <c r="E19" s="292"/>
      <c r="G19" s="202">
        <v>97</v>
      </c>
    </row>
    <row r="20" spans="1:7">
      <c r="A20" s="199">
        <v>86</v>
      </c>
      <c r="C20" s="290"/>
      <c r="D20" s="291"/>
      <c r="E20" s="292"/>
      <c r="G20" s="202">
        <v>84</v>
      </c>
    </row>
    <row r="21" spans="1:7">
      <c r="A21" s="199">
        <v>51</v>
      </c>
      <c r="C21" s="290"/>
      <c r="D21" s="291"/>
      <c r="E21" s="292"/>
      <c r="G21" s="202">
        <v>79</v>
      </c>
    </row>
    <row r="22" spans="1:7">
      <c r="A22" s="199">
        <v>95</v>
      </c>
      <c r="C22" s="290"/>
      <c r="D22" s="291"/>
      <c r="E22" s="292"/>
      <c r="G22" s="202">
        <v>53</v>
      </c>
    </row>
    <row r="23" spans="1:7">
      <c r="A23" s="199">
        <v>84</v>
      </c>
      <c r="C23" s="290"/>
      <c r="D23" s="291"/>
      <c r="E23" s="292"/>
      <c r="G23" s="202">
        <v>50</v>
      </c>
    </row>
    <row r="24" spans="1:7">
      <c r="A24" s="199">
        <v>88</v>
      </c>
      <c r="C24" s="290"/>
      <c r="D24" s="291"/>
      <c r="E24" s="292"/>
      <c r="G24" s="202">
        <v>53</v>
      </c>
    </row>
    <row r="25" spans="1:7">
      <c r="A25" s="199">
        <v>92</v>
      </c>
      <c r="C25" s="293"/>
      <c r="D25" s="294"/>
      <c r="E25" s="295"/>
      <c r="G25" s="202">
        <v>78</v>
      </c>
    </row>
    <row r="26" spans="1:7">
      <c r="A26" s="199">
        <v>85</v>
      </c>
      <c r="G26" s="202">
        <v>54</v>
      </c>
    </row>
    <row r="27" spans="1:7">
      <c r="A27" s="199">
        <v>74</v>
      </c>
      <c r="G27" s="202">
        <v>85</v>
      </c>
    </row>
    <row r="28" spans="1:7">
      <c r="A28" s="199">
        <v>76</v>
      </c>
      <c r="G28" s="202">
        <v>54</v>
      </c>
    </row>
    <row r="29" spans="1:7">
      <c r="A29" s="199">
        <v>60</v>
      </c>
      <c r="G29" s="202">
        <v>98</v>
      </c>
    </row>
    <row r="30" spans="1:7">
      <c r="A30" s="199">
        <v>65</v>
      </c>
      <c r="G30" s="202">
        <v>92</v>
      </c>
    </row>
    <row r="31" spans="1:7">
      <c r="A31" s="199">
        <v>93</v>
      </c>
      <c r="G31" s="202">
        <v>84</v>
      </c>
    </row>
    <row r="32" spans="1:7">
      <c r="A32" s="199">
        <v>98</v>
      </c>
      <c r="G32" s="202">
        <v>71</v>
      </c>
    </row>
    <row r="33" spans="1:7">
      <c r="A33" s="199">
        <v>64</v>
      </c>
      <c r="G33" s="202">
        <v>100</v>
      </c>
    </row>
    <row r="34" spans="1:7">
      <c r="A34" s="199">
        <v>77</v>
      </c>
      <c r="G34" s="202">
        <v>94</v>
      </c>
    </row>
    <row r="35" spans="1:7">
      <c r="A35" s="199">
        <v>89</v>
      </c>
    </row>
  </sheetData>
  <mergeCells count="7">
    <mergeCell ref="C17:E25"/>
    <mergeCell ref="J14:K14"/>
    <mergeCell ref="J15:K15"/>
    <mergeCell ref="A1:B1"/>
    <mergeCell ref="A4:I4"/>
    <mergeCell ref="D14:E14"/>
    <mergeCell ref="D15:E15"/>
  </mergeCells>
  <pageMargins left="0.7" right="0.7" top="0.75" bottom="0.75" header="0.3" footer="0.3"/>
  <pageSetup orientation="portrait" horizontalDpi="4294967293" verticalDpi="4294967293"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K106"/>
  <sheetViews>
    <sheetView showGridLines="0" topLeftCell="A81" zoomScale="90" zoomScaleNormal="90" workbookViewId="0">
      <selection sqref="A1:D1"/>
    </sheetView>
  </sheetViews>
  <sheetFormatPr defaultRowHeight="15"/>
  <cols>
    <col min="1" max="1" width="12.85546875" customWidth="1"/>
    <col min="2" max="2" width="12.7109375" customWidth="1"/>
    <col min="3" max="3" width="13.28515625" customWidth="1"/>
    <col min="4" max="4" width="15.140625" customWidth="1"/>
    <col min="5" max="5" width="14.7109375" customWidth="1"/>
    <col min="6" max="6" width="13.5703125" customWidth="1"/>
    <col min="7" max="7" width="11.5703125" customWidth="1"/>
    <col min="8" max="8" width="12" customWidth="1"/>
    <col min="9" max="9" width="12.140625" customWidth="1"/>
    <col min="10" max="10" width="11.28515625" customWidth="1"/>
    <col min="11" max="11" width="10.140625" customWidth="1"/>
  </cols>
  <sheetData>
    <row r="1" spans="1:11" ht="32.25" thickBot="1">
      <c r="A1" s="259" t="s">
        <v>1005</v>
      </c>
      <c r="B1" s="259"/>
      <c r="C1" s="259"/>
      <c r="D1" s="259"/>
      <c r="E1" s="76"/>
      <c r="F1" s="76"/>
      <c r="G1" s="76"/>
      <c r="H1" s="76"/>
      <c r="I1" s="76"/>
      <c r="J1" s="76"/>
      <c r="K1" s="76"/>
    </row>
    <row r="2" spans="1:11" ht="15.75" thickTop="1"/>
    <row r="3" spans="1:11" ht="18.75">
      <c r="A3" s="74" t="s">
        <v>1006</v>
      </c>
    </row>
    <row r="4" spans="1:11" ht="15" customHeight="1">
      <c r="A4" s="260" t="s">
        <v>1017</v>
      </c>
      <c r="B4" s="260"/>
      <c r="C4" s="260"/>
      <c r="D4" s="260"/>
      <c r="E4" s="260"/>
      <c r="F4" s="260"/>
      <c r="G4" s="260"/>
      <c r="H4" s="260"/>
      <c r="I4" s="260"/>
    </row>
    <row r="5" spans="1:11">
      <c r="A5" s="201"/>
      <c r="B5" s="201"/>
      <c r="C5" s="201"/>
      <c r="D5" s="201"/>
      <c r="E5" s="201"/>
      <c r="F5" s="201"/>
      <c r="G5" s="201"/>
      <c r="H5" s="201"/>
      <c r="I5" s="201"/>
    </row>
    <row r="6" spans="1:11" ht="18.75">
      <c r="A6" s="74" t="s">
        <v>24</v>
      </c>
      <c r="B6" s="201"/>
      <c r="C6" s="201"/>
      <c r="D6" s="201"/>
      <c r="E6" s="201"/>
      <c r="F6" s="201"/>
      <c r="G6" s="201"/>
      <c r="H6" s="201"/>
      <c r="I6" s="201"/>
    </row>
    <row r="7" spans="1:11" ht="15.75">
      <c r="A7" s="80" t="s">
        <v>1009</v>
      </c>
      <c r="B7" s="201"/>
      <c r="C7" s="201"/>
      <c r="D7" s="201"/>
      <c r="E7" s="201"/>
      <c r="F7" s="201"/>
      <c r="G7" s="201"/>
      <c r="H7" s="201"/>
      <c r="I7" s="201"/>
    </row>
    <row r="8" spans="1:11">
      <c r="A8" s="201"/>
      <c r="B8" s="201"/>
      <c r="C8" s="201"/>
      <c r="D8" s="201"/>
      <c r="E8" s="201"/>
      <c r="F8" s="201"/>
      <c r="G8" s="201"/>
      <c r="H8" s="201"/>
      <c r="I8" s="201"/>
    </row>
    <row r="9" spans="1:11">
      <c r="A9" s="209" t="s">
        <v>1008</v>
      </c>
      <c r="B9" s="201"/>
      <c r="C9" s="201"/>
      <c r="D9" s="201"/>
      <c r="E9" s="201"/>
      <c r="F9" s="201"/>
      <c r="G9" s="201"/>
      <c r="H9" s="201"/>
      <c r="I9" s="201"/>
    </row>
    <row r="10" spans="1:11">
      <c r="A10" s="201" t="s">
        <v>1010</v>
      </c>
      <c r="B10" s="201"/>
      <c r="C10" s="201"/>
      <c r="D10" s="201"/>
      <c r="E10" s="201"/>
      <c r="F10" s="201"/>
      <c r="G10" s="201"/>
      <c r="H10" s="201"/>
      <c r="I10" s="201"/>
    </row>
    <row r="11" spans="1:11">
      <c r="A11" s="201"/>
      <c r="B11" s="201"/>
      <c r="C11" s="201"/>
      <c r="D11" s="201"/>
      <c r="E11" s="201"/>
      <c r="F11" s="201"/>
      <c r="G11" s="201"/>
      <c r="H11" s="201"/>
      <c r="I11" s="201"/>
    </row>
    <row r="12" spans="1:11">
      <c r="A12" s="209" t="s">
        <v>1011</v>
      </c>
      <c r="B12" s="201"/>
      <c r="C12" s="201"/>
      <c r="D12" s="201"/>
      <c r="E12" s="201"/>
      <c r="F12" s="201"/>
      <c r="G12" s="201"/>
      <c r="H12" s="201"/>
      <c r="I12" s="201"/>
    </row>
    <row r="13" spans="1:11">
      <c r="A13" s="208" t="s">
        <v>1012</v>
      </c>
      <c r="B13" s="201"/>
      <c r="C13" s="201"/>
      <c r="D13" s="201"/>
      <c r="E13" s="201"/>
      <c r="F13" s="201"/>
      <c r="G13" s="201"/>
      <c r="H13" s="201"/>
      <c r="I13" s="201"/>
    </row>
    <row r="14" spans="1:11">
      <c r="A14" s="201"/>
      <c r="B14" s="201"/>
      <c r="C14" s="201"/>
      <c r="D14" s="201"/>
      <c r="E14" s="201"/>
      <c r="F14" s="201"/>
      <c r="G14" s="201"/>
      <c r="H14" s="201"/>
      <c r="I14" s="201"/>
    </row>
    <row r="15" spans="1:11">
      <c r="A15" s="209" t="s">
        <v>201</v>
      </c>
      <c r="B15" s="201"/>
      <c r="C15" s="201"/>
      <c r="D15" s="201"/>
      <c r="E15" s="201"/>
      <c r="F15" s="201"/>
      <c r="G15" s="201"/>
      <c r="H15" s="201"/>
      <c r="I15" s="201"/>
    </row>
    <row r="16" spans="1:11">
      <c r="A16" s="208" t="s">
        <v>1013</v>
      </c>
      <c r="B16" s="201"/>
      <c r="C16" s="201"/>
      <c r="D16" s="201"/>
      <c r="E16" s="201"/>
      <c r="F16" s="201"/>
      <c r="G16" s="201"/>
      <c r="H16" s="201"/>
      <c r="I16" s="201"/>
    </row>
    <row r="17" spans="1:9">
      <c r="A17" s="201"/>
      <c r="B17" s="201"/>
      <c r="C17" s="201"/>
      <c r="D17" s="201"/>
      <c r="E17" s="201"/>
      <c r="F17" s="201"/>
      <c r="G17" s="201"/>
      <c r="H17" s="201"/>
      <c r="I17" s="201"/>
    </row>
    <row r="18" spans="1:9">
      <c r="A18" s="209" t="s">
        <v>1014</v>
      </c>
      <c r="B18" s="201"/>
      <c r="C18" s="201"/>
      <c r="D18" s="201"/>
      <c r="E18" s="201"/>
      <c r="F18" s="201"/>
      <c r="G18" s="201"/>
      <c r="H18" s="201"/>
      <c r="I18" s="201"/>
    </row>
    <row r="19" spans="1:9">
      <c r="A19" s="227" t="s">
        <v>1015</v>
      </c>
      <c r="B19" s="227"/>
      <c r="C19" s="227"/>
      <c r="D19" s="227"/>
      <c r="E19" s="227"/>
      <c r="F19" s="227"/>
      <c r="G19" s="227"/>
      <c r="H19" s="227"/>
      <c r="I19" s="201"/>
    </row>
    <row r="20" spans="1:9">
      <c r="A20" s="227"/>
      <c r="B20" s="227"/>
      <c r="C20" s="227"/>
      <c r="D20" s="227"/>
      <c r="E20" s="227"/>
      <c r="F20" s="227"/>
      <c r="G20" s="227"/>
      <c r="H20" s="227"/>
      <c r="I20" s="201"/>
    </row>
    <row r="21" spans="1:9">
      <c r="A21" s="195"/>
      <c r="B21" s="195"/>
      <c r="C21" s="195"/>
      <c r="D21" s="195"/>
      <c r="E21" s="195"/>
      <c r="F21" s="195"/>
      <c r="G21" s="195"/>
      <c r="H21" s="195"/>
      <c r="I21" s="201"/>
    </row>
    <row r="22" spans="1:9">
      <c r="A22" s="227" t="s">
        <v>1007</v>
      </c>
      <c r="B22" s="227"/>
      <c r="C22" s="227"/>
      <c r="D22" s="227"/>
      <c r="E22" s="227"/>
      <c r="F22" s="227"/>
      <c r="G22" s="227"/>
      <c r="H22" s="227"/>
      <c r="I22" s="201"/>
    </row>
    <row r="23" spans="1:9">
      <c r="A23" s="227"/>
      <c r="B23" s="227"/>
      <c r="C23" s="227"/>
      <c r="D23" s="227"/>
      <c r="E23" s="227"/>
      <c r="F23" s="227"/>
      <c r="G23" s="227"/>
      <c r="H23" s="227"/>
      <c r="I23" s="201"/>
    </row>
    <row r="24" spans="1:9">
      <c r="A24" s="210" t="s">
        <v>1008</v>
      </c>
      <c r="B24" s="211">
        <f>0.04/12</f>
        <v>3.3333333333333335E-3</v>
      </c>
      <c r="C24" s="208" t="s">
        <v>1022</v>
      </c>
      <c r="D24" s="201"/>
      <c r="E24" s="201"/>
      <c r="F24" s="201"/>
      <c r="G24" s="201"/>
      <c r="H24" s="201"/>
      <c r="I24" s="201"/>
    </row>
    <row r="25" spans="1:9">
      <c r="A25" s="210" t="s">
        <v>200</v>
      </c>
      <c r="B25" s="200">
        <v>48</v>
      </c>
      <c r="C25" s="201"/>
      <c r="D25" s="201"/>
      <c r="E25" s="201"/>
      <c r="F25" s="201"/>
      <c r="G25" s="201"/>
      <c r="H25" s="201"/>
      <c r="I25" s="201"/>
    </row>
    <row r="26" spans="1:9" ht="15" customHeight="1">
      <c r="A26" s="210" t="s">
        <v>201</v>
      </c>
      <c r="B26" s="212">
        <v>80000</v>
      </c>
      <c r="C26" s="201"/>
      <c r="D26" s="304" t="s">
        <v>1028</v>
      </c>
      <c r="E26" s="304"/>
      <c r="F26" s="304"/>
      <c r="G26" s="304"/>
      <c r="H26" s="201"/>
      <c r="I26" s="201"/>
    </row>
    <row r="27" spans="1:9">
      <c r="A27" s="203" t="s">
        <v>199</v>
      </c>
      <c r="B27" s="212">
        <f>PMT(B24,B25,B26)</f>
        <v>-1806.3243713351985</v>
      </c>
      <c r="C27" s="201"/>
      <c r="D27" s="304"/>
      <c r="E27" s="304"/>
      <c r="F27" s="304"/>
      <c r="G27" s="304"/>
      <c r="H27" s="201"/>
      <c r="I27" s="201"/>
    </row>
    <row r="28" spans="1:9">
      <c r="A28" s="203" t="s">
        <v>217</v>
      </c>
      <c r="B28" s="263" t="s">
        <v>1016</v>
      </c>
      <c r="C28" s="263"/>
      <c r="D28" s="304"/>
      <c r="E28" s="304"/>
      <c r="F28" s="304"/>
      <c r="G28" s="304"/>
      <c r="H28" s="201"/>
      <c r="I28" s="201"/>
    </row>
    <row r="29" spans="1:9">
      <c r="A29" s="201"/>
      <c r="B29" s="201"/>
      <c r="C29" s="201"/>
      <c r="D29" s="201"/>
      <c r="E29" s="201"/>
      <c r="F29" s="201"/>
      <c r="G29" s="201"/>
      <c r="H29" s="201"/>
      <c r="I29" s="201"/>
    </row>
    <row r="30" spans="1:9">
      <c r="A30" s="201"/>
      <c r="B30" s="201"/>
      <c r="C30" s="201"/>
      <c r="D30" s="201"/>
      <c r="E30" s="201"/>
      <c r="F30" s="201"/>
      <c r="G30" s="201"/>
      <c r="H30" s="201"/>
      <c r="I30" s="201"/>
    </row>
    <row r="31" spans="1:9" ht="18.75">
      <c r="A31" s="74" t="s">
        <v>1018</v>
      </c>
    </row>
    <row r="32" spans="1:9">
      <c r="A32" s="260" t="s">
        <v>1019</v>
      </c>
      <c r="B32" s="260"/>
      <c r="C32" s="260"/>
      <c r="D32" s="260"/>
      <c r="E32" s="260"/>
      <c r="F32" s="260"/>
      <c r="G32" s="260"/>
      <c r="H32" s="260"/>
      <c r="I32" s="260"/>
    </row>
    <row r="33" spans="1:9">
      <c r="A33" s="201"/>
      <c r="B33" s="201"/>
      <c r="C33" s="201"/>
      <c r="D33" s="201"/>
      <c r="E33" s="201"/>
      <c r="F33" s="201"/>
      <c r="G33" s="201"/>
      <c r="H33" s="201"/>
      <c r="I33" s="201"/>
    </row>
    <row r="34" spans="1:9" ht="18.75">
      <c r="A34" s="74" t="s">
        <v>24</v>
      </c>
      <c r="B34" s="201"/>
      <c r="C34" s="201"/>
      <c r="D34" s="201"/>
      <c r="E34" s="201"/>
      <c r="F34" s="201"/>
      <c r="G34" s="201"/>
      <c r="H34" s="201"/>
      <c r="I34" s="201"/>
    </row>
    <row r="35" spans="1:9" ht="15.75">
      <c r="A35" s="80" t="s">
        <v>1020</v>
      </c>
      <c r="B35" s="201"/>
      <c r="C35" s="201"/>
      <c r="D35" s="201"/>
      <c r="E35" s="201"/>
      <c r="F35" s="201"/>
      <c r="G35" s="201"/>
      <c r="H35" s="201"/>
      <c r="I35" s="201"/>
    </row>
    <row r="36" spans="1:9">
      <c r="A36" s="201"/>
      <c r="B36" s="201"/>
    </row>
    <row r="37" spans="1:9">
      <c r="A37" s="209" t="s">
        <v>1008</v>
      </c>
      <c r="B37" s="201"/>
    </row>
    <row r="38" spans="1:9">
      <c r="A38" s="201" t="s">
        <v>1010</v>
      </c>
      <c r="B38" s="201"/>
    </row>
    <row r="39" spans="1:9">
      <c r="A39" s="201"/>
      <c r="B39" s="201"/>
    </row>
    <row r="40" spans="1:9">
      <c r="A40" s="209" t="s">
        <v>199</v>
      </c>
      <c r="B40" s="201"/>
    </row>
    <row r="41" spans="1:9">
      <c r="A41" s="208" t="s">
        <v>1021</v>
      </c>
      <c r="B41" s="201"/>
    </row>
    <row r="42" spans="1:9">
      <c r="A42" s="201"/>
      <c r="B42" s="201"/>
    </row>
    <row r="43" spans="1:9">
      <c r="A43" s="209" t="s">
        <v>201</v>
      </c>
      <c r="B43" s="201"/>
    </row>
    <row r="44" spans="1:9">
      <c r="A44" s="208" t="s">
        <v>1013</v>
      </c>
      <c r="B44" s="201"/>
    </row>
    <row r="46" spans="1:9">
      <c r="A46" s="209" t="s">
        <v>1014</v>
      </c>
      <c r="B46" s="201"/>
      <c r="C46" s="201"/>
      <c r="D46" s="201"/>
      <c r="E46" s="201"/>
      <c r="F46" s="201"/>
      <c r="G46" s="201"/>
      <c r="H46" s="201"/>
    </row>
    <row r="47" spans="1:9">
      <c r="A47" s="227" t="s">
        <v>1015</v>
      </c>
      <c r="B47" s="227"/>
      <c r="C47" s="227"/>
      <c r="D47" s="227"/>
      <c r="E47" s="227"/>
      <c r="F47" s="227"/>
      <c r="G47" s="227"/>
      <c r="H47" s="227"/>
    </row>
    <row r="48" spans="1:9">
      <c r="A48" s="227"/>
      <c r="B48" s="227"/>
      <c r="C48" s="227"/>
      <c r="D48" s="227"/>
      <c r="E48" s="227"/>
      <c r="F48" s="227"/>
      <c r="G48" s="227"/>
      <c r="H48" s="227"/>
    </row>
    <row r="50" spans="1:9">
      <c r="A50" s="210" t="s">
        <v>1008</v>
      </c>
      <c r="B50" s="211">
        <f>0.04/12</f>
        <v>3.3333333333333335E-3</v>
      </c>
      <c r="C50" s="208"/>
    </row>
    <row r="51" spans="1:9">
      <c r="A51" s="210" t="s">
        <v>199</v>
      </c>
      <c r="B51" s="212">
        <v>-1500</v>
      </c>
      <c r="C51" s="201"/>
      <c r="D51" s="298" t="s">
        <v>1024</v>
      </c>
      <c r="E51" s="299"/>
      <c r="F51" s="299"/>
      <c r="G51" s="300"/>
    </row>
    <row r="52" spans="1:9">
      <c r="A52" s="210" t="s">
        <v>201</v>
      </c>
      <c r="B52" s="212">
        <v>80000</v>
      </c>
      <c r="C52" s="201"/>
      <c r="D52" s="301"/>
      <c r="E52" s="302"/>
      <c r="F52" s="302"/>
      <c r="G52" s="303"/>
    </row>
    <row r="53" spans="1:9">
      <c r="A53" s="203" t="s">
        <v>200</v>
      </c>
      <c r="B53" s="213">
        <f>NPER(B50,B51,B52)</f>
        <v>58.821191143328278</v>
      </c>
      <c r="C53" s="201"/>
    </row>
    <row r="54" spans="1:9">
      <c r="A54" s="203" t="s">
        <v>217</v>
      </c>
      <c r="B54" s="263" t="s">
        <v>1023</v>
      </c>
      <c r="C54" s="263"/>
    </row>
    <row r="57" spans="1:9" ht="18.75">
      <c r="A57" s="74" t="s">
        <v>1025</v>
      </c>
    </row>
    <row r="58" spans="1:9">
      <c r="A58" s="260" t="s">
        <v>1026</v>
      </c>
      <c r="B58" s="260"/>
      <c r="C58" s="260"/>
      <c r="D58" s="260"/>
      <c r="E58" s="260"/>
      <c r="F58" s="260"/>
      <c r="G58" s="260"/>
      <c r="H58" s="260"/>
      <c r="I58" s="260"/>
    </row>
    <row r="59" spans="1:9">
      <c r="A59" s="201"/>
      <c r="B59" s="201"/>
      <c r="C59" s="201"/>
      <c r="D59" s="201"/>
      <c r="E59" s="201"/>
      <c r="F59" s="201"/>
      <c r="G59" s="201"/>
      <c r="H59" s="201"/>
      <c r="I59" s="201"/>
    </row>
    <row r="60" spans="1:9" ht="18.75">
      <c r="A60" s="74" t="s">
        <v>24</v>
      </c>
      <c r="B60" s="201"/>
      <c r="C60" s="201"/>
      <c r="D60" s="201"/>
      <c r="E60" s="201"/>
      <c r="F60" s="201"/>
      <c r="G60" s="201"/>
      <c r="H60" s="201"/>
      <c r="I60" s="201"/>
    </row>
    <row r="61" spans="1:9" ht="15.75">
      <c r="A61" s="80" t="s">
        <v>1027</v>
      </c>
      <c r="B61" s="201"/>
      <c r="C61" s="201"/>
      <c r="D61" s="201"/>
      <c r="E61" s="201"/>
      <c r="F61" s="201"/>
      <c r="G61" s="201"/>
      <c r="H61" s="201"/>
      <c r="I61" s="201"/>
    </row>
    <row r="62" spans="1:9">
      <c r="A62" s="201"/>
      <c r="B62" s="201"/>
    </row>
    <row r="63" spans="1:9">
      <c r="A63" s="209" t="s">
        <v>1008</v>
      </c>
      <c r="B63" s="201"/>
    </row>
    <row r="64" spans="1:9">
      <c r="A64" s="201" t="s">
        <v>1010</v>
      </c>
      <c r="B64" s="201"/>
    </row>
    <row r="65" spans="1:8">
      <c r="A65" s="201"/>
      <c r="B65" s="201"/>
    </row>
    <row r="66" spans="1:8">
      <c r="A66" s="209" t="s">
        <v>200</v>
      </c>
      <c r="B66" s="201"/>
    </row>
    <row r="67" spans="1:8">
      <c r="A67" s="208" t="s">
        <v>1012</v>
      </c>
      <c r="B67" s="201"/>
    </row>
    <row r="68" spans="1:8">
      <c r="A68" s="201"/>
      <c r="B68" s="201"/>
    </row>
    <row r="69" spans="1:8">
      <c r="A69" s="209" t="s">
        <v>199</v>
      </c>
      <c r="B69" s="201"/>
    </row>
    <row r="70" spans="1:8">
      <c r="A70" s="208" t="s">
        <v>1021</v>
      </c>
      <c r="B70" s="201"/>
    </row>
    <row r="72" spans="1:8">
      <c r="A72" s="209" t="s">
        <v>1014</v>
      </c>
      <c r="B72" s="201"/>
      <c r="C72" s="201"/>
      <c r="D72" s="201"/>
      <c r="E72" s="201"/>
      <c r="F72" s="201"/>
      <c r="G72" s="201"/>
      <c r="H72" s="201"/>
    </row>
    <row r="73" spans="1:8">
      <c r="A73" s="227" t="s">
        <v>1015</v>
      </c>
      <c r="B73" s="227"/>
      <c r="C73" s="227"/>
      <c r="D73" s="227"/>
      <c r="E73" s="227"/>
      <c r="F73" s="227"/>
      <c r="G73" s="227"/>
      <c r="H73" s="227"/>
    </row>
    <row r="74" spans="1:8">
      <c r="A74" s="227"/>
      <c r="B74" s="227"/>
      <c r="C74" s="227"/>
      <c r="D74" s="227"/>
      <c r="E74" s="227"/>
      <c r="F74" s="227"/>
      <c r="G74" s="227"/>
      <c r="H74" s="227"/>
    </row>
    <row r="76" spans="1:8">
      <c r="A76" s="210" t="s">
        <v>1008</v>
      </c>
      <c r="B76" s="211">
        <f>0.04/12</f>
        <v>3.3333333333333335E-3</v>
      </c>
      <c r="C76" s="208"/>
    </row>
    <row r="77" spans="1:8">
      <c r="A77" s="210" t="s">
        <v>199</v>
      </c>
      <c r="B77" s="212">
        <v>-1806</v>
      </c>
      <c r="C77" s="201"/>
      <c r="D77" s="298" t="s">
        <v>1029</v>
      </c>
      <c r="E77" s="299"/>
      <c r="F77" s="299"/>
      <c r="G77" s="300"/>
    </row>
    <row r="78" spans="1:8">
      <c r="A78" s="210" t="s">
        <v>200</v>
      </c>
      <c r="B78" s="213">
        <v>48</v>
      </c>
      <c r="C78" s="201"/>
      <c r="D78" s="301"/>
      <c r="E78" s="302"/>
      <c r="F78" s="302"/>
      <c r="G78" s="303"/>
    </row>
    <row r="79" spans="1:8">
      <c r="A79" s="203" t="s">
        <v>201</v>
      </c>
      <c r="B79" s="212">
        <f>PV(B76,B78,B77)</f>
        <v>79985.633971824762</v>
      </c>
      <c r="C79" s="201"/>
    </row>
    <row r="80" spans="1:8">
      <c r="A80" s="203" t="s">
        <v>217</v>
      </c>
      <c r="B80" s="263" t="s">
        <v>1035</v>
      </c>
      <c r="C80" s="263"/>
    </row>
    <row r="83" spans="1:9" ht="18.75">
      <c r="A83" s="74" t="s">
        <v>1030</v>
      </c>
    </row>
    <row r="84" spans="1:9">
      <c r="A84" s="260" t="s">
        <v>1031</v>
      </c>
      <c r="B84" s="260"/>
      <c r="C84" s="260"/>
      <c r="D84" s="260"/>
      <c r="E84" s="260"/>
      <c r="F84" s="260"/>
      <c r="G84" s="260"/>
      <c r="H84" s="260"/>
      <c r="I84" s="260"/>
    </row>
    <row r="85" spans="1:9">
      <c r="A85" s="201"/>
      <c r="B85" s="201"/>
      <c r="C85" s="201"/>
      <c r="D85" s="201"/>
      <c r="E85" s="201"/>
      <c r="F85" s="201"/>
      <c r="G85" s="201"/>
      <c r="H85" s="201"/>
      <c r="I85" s="201"/>
    </row>
    <row r="86" spans="1:9" ht="18.75">
      <c r="A86" s="74" t="s">
        <v>24</v>
      </c>
      <c r="B86" s="201"/>
      <c r="C86" s="201"/>
      <c r="D86" s="201"/>
      <c r="E86" s="201"/>
      <c r="F86" s="201"/>
      <c r="G86" s="201"/>
      <c r="H86" s="201"/>
      <c r="I86" s="201"/>
    </row>
    <row r="87" spans="1:9" ht="15.75">
      <c r="A87" s="80" t="s">
        <v>1032</v>
      </c>
      <c r="B87" s="201"/>
      <c r="C87" s="201"/>
      <c r="D87" s="201"/>
      <c r="E87" s="201"/>
      <c r="F87" s="201"/>
      <c r="G87" s="201"/>
      <c r="H87" s="201"/>
      <c r="I87" s="201"/>
    </row>
    <row r="88" spans="1:9">
      <c r="A88" s="201"/>
      <c r="B88" s="201"/>
    </row>
    <row r="89" spans="1:9">
      <c r="A89" s="209" t="s">
        <v>1008</v>
      </c>
      <c r="B89" s="201"/>
    </row>
    <row r="90" spans="1:9">
      <c r="A90" s="201" t="s">
        <v>1010</v>
      </c>
      <c r="B90" s="201"/>
    </row>
    <row r="91" spans="1:9">
      <c r="A91" s="201"/>
      <c r="B91" s="201"/>
    </row>
    <row r="92" spans="1:9">
      <c r="A92" s="209" t="s">
        <v>200</v>
      </c>
      <c r="B92" s="201"/>
    </row>
    <row r="93" spans="1:9">
      <c r="A93" s="208" t="s">
        <v>1012</v>
      </c>
      <c r="B93" s="201"/>
    </row>
    <row r="94" spans="1:9">
      <c r="A94" s="201"/>
      <c r="B94" s="201"/>
    </row>
    <row r="95" spans="1:9">
      <c r="A95" s="209" t="s">
        <v>199</v>
      </c>
      <c r="B95" s="201"/>
    </row>
    <row r="96" spans="1:9">
      <c r="A96" s="208" t="s">
        <v>1021</v>
      </c>
      <c r="B96" s="201"/>
    </row>
    <row r="98" spans="1:8">
      <c r="A98" s="209" t="s">
        <v>1033</v>
      </c>
      <c r="B98" s="201"/>
      <c r="C98" s="201"/>
      <c r="D98" s="201"/>
      <c r="E98" s="201"/>
      <c r="F98" s="201"/>
      <c r="G98" s="201"/>
      <c r="H98" s="201"/>
    </row>
    <row r="99" spans="1:8">
      <c r="A99" s="227" t="s">
        <v>1034</v>
      </c>
      <c r="B99" s="227"/>
      <c r="C99" s="227"/>
      <c r="D99" s="227"/>
      <c r="E99" s="227"/>
      <c r="F99" s="227"/>
      <c r="G99" s="227"/>
      <c r="H99" s="227"/>
    </row>
    <row r="100" spans="1:8">
      <c r="A100" s="227"/>
      <c r="B100" s="227"/>
      <c r="C100" s="227"/>
      <c r="D100" s="227"/>
      <c r="E100" s="227"/>
      <c r="F100" s="227"/>
      <c r="G100" s="227"/>
      <c r="H100" s="227"/>
    </row>
    <row r="102" spans="1:8">
      <c r="A102" s="210" t="s">
        <v>1008</v>
      </c>
      <c r="B102" s="211">
        <f>0.04/12</f>
        <v>3.3333333333333335E-3</v>
      </c>
      <c r="C102" s="208"/>
    </row>
    <row r="103" spans="1:8" ht="15" customHeight="1">
      <c r="A103" s="210" t="s">
        <v>199</v>
      </c>
      <c r="B103" s="212">
        <v>-1806</v>
      </c>
      <c r="C103" s="201"/>
      <c r="D103" s="296" t="s">
        <v>1036</v>
      </c>
      <c r="E103" s="296"/>
      <c r="F103" s="296"/>
      <c r="G103" s="296"/>
    </row>
    <row r="104" spans="1:8">
      <c r="A104" s="210" t="s">
        <v>200</v>
      </c>
      <c r="B104" s="213">
        <v>48</v>
      </c>
      <c r="C104" s="201"/>
      <c r="D104" s="297"/>
      <c r="E104" s="297"/>
      <c r="F104" s="297"/>
      <c r="G104" s="297"/>
    </row>
    <row r="105" spans="1:8">
      <c r="A105" s="203" t="s">
        <v>202</v>
      </c>
      <c r="B105" s="212">
        <f>FV(B102,B104,B103,B79)</f>
        <v>0</v>
      </c>
      <c r="C105" s="201"/>
      <c r="D105" s="297"/>
      <c r="E105" s="297"/>
      <c r="F105" s="297"/>
      <c r="G105" s="297"/>
    </row>
    <row r="106" spans="1:8">
      <c r="A106" s="203" t="s">
        <v>217</v>
      </c>
      <c r="B106" s="263" t="s">
        <v>1037</v>
      </c>
      <c r="C106" s="263"/>
    </row>
  </sheetData>
  <mergeCells count="18">
    <mergeCell ref="A47:H48"/>
    <mergeCell ref="D26:G28"/>
    <mergeCell ref="A4:I4"/>
    <mergeCell ref="A1:D1"/>
    <mergeCell ref="A22:H23"/>
    <mergeCell ref="A19:H20"/>
    <mergeCell ref="B28:C28"/>
    <mergeCell ref="A32:I32"/>
    <mergeCell ref="D51:G52"/>
    <mergeCell ref="A58:I58"/>
    <mergeCell ref="A73:H74"/>
    <mergeCell ref="D77:G78"/>
    <mergeCell ref="B80:C80"/>
    <mergeCell ref="A84:I84"/>
    <mergeCell ref="A99:H100"/>
    <mergeCell ref="B106:C106"/>
    <mergeCell ref="D103:G105"/>
    <mergeCell ref="B54:C54"/>
  </mergeCells>
  <pageMargins left="0.7" right="0.7" top="0.75" bottom="0.75" header="0.3" footer="0.3"/>
  <pageSetup orientation="portrait" horizontalDpi="4294967293" verticalDpi="4294967293"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128"/>
  <sheetViews>
    <sheetView topLeftCell="A4" workbookViewId="0">
      <selection activeCell="B70" sqref="B70:I78"/>
    </sheetView>
  </sheetViews>
  <sheetFormatPr defaultRowHeight="12.75"/>
  <cols>
    <col min="1" max="1" width="2.7109375" style="1" customWidth="1"/>
    <col min="2" max="9" width="9.140625" style="1"/>
    <col min="10" max="11" width="8.85546875" style="1" customWidth="1"/>
    <col min="12" max="13" width="9.140625" style="1"/>
    <col min="14" max="14" width="32.42578125" style="1" customWidth="1"/>
    <col min="15" max="256" width="9.140625" style="1"/>
    <col min="257" max="257" width="2.7109375" style="1" customWidth="1"/>
    <col min="258" max="265" width="9.140625" style="1"/>
    <col min="266" max="267" width="8.85546875" style="1" customWidth="1"/>
    <col min="268" max="269" width="9.140625" style="1"/>
    <col min="270" max="270" width="32.42578125" style="1" customWidth="1"/>
    <col min="271" max="512" width="9.140625" style="1"/>
    <col min="513" max="513" width="2.7109375" style="1" customWidth="1"/>
    <col min="514" max="521" width="9.140625" style="1"/>
    <col min="522" max="523" width="8.85546875" style="1" customWidth="1"/>
    <col min="524" max="525" width="9.140625" style="1"/>
    <col min="526" max="526" width="32.42578125" style="1" customWidth="1"/>
    <col min="527" max="768" width="9.140625" style="1"/>
    <col min="769" max="769" width="2.7109375" style="1" customWidth="1"/>
    <col min="770" max="777" width="9.140625" style="1"/>
    <col min="778" max="779" width="8.85546875" style="1" customWidth="1"/>
    <col min="780" max="781" width="9.140625" style="1"/>
    <col min="782" max="782" width="32.42578125" style="1" customWidth="1"/>
    <col min="783" max="1024" width="9.140625" style="1"/>
    <col min="1025" max="1025" width="2.7109375" style="1" customWidth="1"/>
    <col min="1026" max="1033" width="9.140625" style="1"/>
    <col min="1034" max="1035" width="8.85546875" style="1" customWidth="1"/>
    <col min="1036" max="1037" width="9.140625" style="1"/>
    <col min="1038" max="1038" width="32.42578125" style="1" customWidth="1"/>
    <col min="1039" max="1280" width="9.140625" style="1"/>
    <col min="1281" max="1281" width="2.7109375" style="1" customWidth="1"/>
    <col min="1282" max="1289" width="9.140625" style="1"/>
    <col min="1290" max="1291" width="8.85546875" style="1" customWidth="1"/>
    <col min="1292" max="1293" width="9.140625" style="1"/>
    <col min="1294" max="1294" width="32.42578125" style="1" customWidth="1"/>
    <col min="1295" max="1536" width="9.140625" style="1"/>
    <col min="1537" max="1537" width="2.7109375" style="1" customWidth="1"/>
    <col min="1538" max="1545" width="9.140625" style="1"/>
    <col min="1546" max="1547" width="8.85546875" style="1" customWidth="1"/>
    <col min="1548" max="1549" width="9.140625" style="1"/>
    <col min="1550" max="1550" width="32.42578125" style="1" customWidth="1"/>
    <col min="1551" max="1792" width="9.140625" style="1"/>
    <col min="1793" max="1793" width="2.7109375" style="1" customWidth="1"/>
    <col min="1794" max="1801" width="9.140625" style="1"/>
    <col min="1802" max="1803" width="8.85546875" style="1" customWidth="1"/>
    <col min="1804" max="1805" width="9.140625" style="1"/>
    <col min="1806" max="1806" width="32.42578125" style="1" customWidth="1"/>
    <col min="1807" max="2048" width="9.140625" style="1"/>
    <col min="2049" max="2049" width="2.7109375" style="1" customWidth="1"/>
    <col min="2050" max="2057" width="9.140625" style="1"/>
    <col min="2058" max="2059" width="8.85546875" style="1" customWidth="1"/>
    <col min="2060" max="2061" width="9.140625" style="1"/>
    <col min="2062" max="2062" width="32.42578125" style="1" customWidth="1"/>
    <col min="2063" max="2304" width="9.140625" style="1"/>
    <col min="2305" max="2305" width="2.7109375" style="1" customWidth="1"/>
    <col min="2306" max="2313" width="9.140625" style="1"/>
    <col min="2314" max="2315" width="8.85546875" style="1" customWidth="1"/>
    <col min="2316" max="2317" width="9.140625" style="1"/>
    <col min="2318" max="2318" width="32.42578125" style="1" customWidth="1"/>
    <col min="2319" max="2560" width="9.140625" style="1"/>
    <col min="2561" max="2561" width="2.7109375" style="1" customWidth="1"/>
    <col min="2562" max="2569" width="9.140625" style="1"/>
    <col min="2570" max="2571" width="8.85546875" style="1" customWidth="1"/>
    <col min="2572" max="2573" width="9.140625" style="1"/>
    <col min="2574" max="2574" width="32.42578125" style="1" customWidth="1"/>
    <col min="2575" max="2816" width="9.140625" style="1"/>
    <col min="2817" max="2817" width="2.7109375" style="1" customWidth="1"/>
    <col min="2818" max="2825" width="9.140625" style="1"/>
    <col min="2826" max="2827" width="8.85546875" style="1" customWidth="1"/>
    <col min="2828" max="2829" width="9.140625" style="1"/>
    <col min="2830" max="2830" width="32.42578125" style="1" customWidth="1"/>
    <col min="2831" max="3072" width="9.140625" style="1"/>
    <col min="3073" max="3073" width="2.7109375" style="1" customWidth="1"/>
    <col min="3074" max="3081" width="9.140625" style="1"/>
    <col min="3082" max="3083" width="8.85546875" style="1" customWidth="1"/>
    <col min="3084" max="3085" width="9.140625" style="1"/>
    <col min="3086" max="3086" width="32.42578125" style="1" customWidth="1"/>
    <col min="3087" max="3328" width="9.140625" style="1"/>
    <col min="3329" max="3329" width="2.7109375" style="1" customWidth="1"/>
    <col min="3330" max="3337" width="9.140625" style="1"/>
    <col min="3338" max="3339" width="8.85546875" style="1" customWidth="1"/>
    <col min="3340" max="3341" width="9.140625" style="1"/>
    <col min="3342" max="3342" width="32.42578125" style="1" customWidth="1"/>
    <col min="3343" max="3584" width="9.140625" style="1"/>
    <col min="3585" max="3585" width="2.7109375" style="1" customWidth="1"/>
    <col min="3586" max="3593" width="9.140625" style="1"/>
    <col min="3594" max="3595" width="8.85546875" style="1" customWidth="1"/>
    <col min="3596" max="3597" width="9.140625" style="1"/>
    <col min="3598" max="3598" width="32.42578125" style="1" customWidth="1"/>
    <col min="3599" max="3840" width="9.140625" style="1"/>
    <col min="3841" max="3841" width="2.7109375" style="1" customWidth="1"/>
    <col min="3842" max="3849" width="9.140625" style="1"/>
    <col min="3850" max="3851" width="8.85546875" style="1" customWidth="1"/>
    <col min="3852" max="3853" width="9.140625" style="1"/>
    <col min="3854" max="3854" width="32.42578125" style="1" customWidth="1"/>
    <col min="3855" max="4096" width="9.140625" style="1"/>
    <col min="4097" max="4097" width="2.7109375" style="1" customWidth="1"/>
    <col min="4098" max="4105" width="9.140625" style="1"/>
    <col min="4106" max="4107" width="8.85546875" style="1" customWidth="1"/>
    <col min="4108" max="4109" width="9.140625" style="1"/>
    <col min="4110" max="4110" width="32.42578125" style="1" customWidth="1"/>
    <col min="4111" max="4352" width="9.140625" style="1"/>
    <col min="4353" max="4353" width="2.7109375" style="1" customWidth="1"/>
    <col min="4354" max="4361" width="9.140625" style="1"/>
    <col min="4362" max="4363" width="8.85546875" style="1" customWidth="1"/>
    <col min="4364" max="4365" width="9.140625" style="1"/>
    <col min="4366" max="4366" width="32.42578125" style="1" customWidth="1"/>
    <col min="4367" max="4608" width="9.140625" style="1"/>
    <col min="4609" max="4609" width="2.7109375" style="1" customWidth="1"/>
    <col min="4610" max="4617" width="9.140625" style="1"/>
    <col min="4618" max="4619" width="8.85546875" style="1" customWidth="1"/>
    <col min="4620" max="4621" width="9.140625" style="1"/>
    <col min="4622" max="4622" width="32.42578125" style="1" customWidth="1"/>
    <col min="4623" max="4864" width="9.140625" style="1"/>
    <col min="4865" max="4865" width="2.7109375" style="1" customWidth="1"/>
    <col min="4866" max="4873" width="9.140625" style="1"/>
    <col min="4874" max="4875" width="8.85546875" style="1" customWidth="1"/>
    <col min="4876" max="4877" width="9.140625" style="1"/>
    <col min="4878" max="4878" width="32.42578125" style="1" customWidth="1"/>
    <col min="4879" max="5120" width="9.140625" style="1"/>
    <col min="5121" max="5121" width="2.7109375" style="1" customWidth="1"/>
    <col min="5122" max="5129" width="9.140625" style="1"/>
    <col min="5130" max="5131" width="8.85546875" style="1" customWidth="1"/>
    <col min="5132" max="5133" width="9.140625" style="1"/>
    <col min="5134" max="5134" width="32.42578125" style="1" customWidth="1"/>
    <col min="5135" max="5376" width="9.140625" style="1"/>
    <col min="5377" max="5377" width="2.7109375" style="1" customWidth="1"/>
    <col min="5378" max="5385" width="9.140625" style="1"/>
    <col min="5386" max="5387" width="8.85546875" style="1" customWidth="1"/>
    <col min="5388" max="5389" width="9.140625" style="1"/>
    <col min="5390" max="5390" width="32.42578125" style="1" customWidth="1"/>
    <col min="5391" max="5632" width="9.140625" style="1"/>
    <col min="5633" max="5633" width="2.7109375" style="1" customWidth="1"/>
    <col min="5634" max="5641" width="9.140625" style="1"/>
    <col min="5642" max="5643" width="8.85546875" style="1" customWidth="1"/>
    <col min="5644" max="5645" width="9.140625" style="1"/>
    <col min="5646" max="5646" width="32.42578125" style="1" customWidth="1"/>
    <col min="5647" max="5888" width="9.140625" style="1"/>
    <col min="5889" max="5889" width="2.7109375" style="1" customWidth="1"/>
    <col min="5890" max="5897" width="9.140625" style="1"/>
    <col min="5898" max="5899" width="8.85546875" style="1" customWidth="1"/>
    <col min="5900" max="5901" width="9.140625" style="1"/>
    <col min="5902" max="5902" width="32.42578125" style="1" customWidth="1"/>
    <col min="5903" max="6144" width="9.140625" style="1"/>
    <col min="6145" max="6145" width="2.7109375" style="1" customWidth="1"/>
    <col min="6146" max="6153" width="9.140625" style="1"/>
    <col min="6154" max="6155" width="8.85546875" style="1" customWidth="1"/>
    <col min="6156" max="6157" width="9.140625" style="1"/>
    <col min="6158" max="6158" width="32.42578125" style="1" customWidth="1"/>
    <col min="6159" max="6400" width="9.140625" style="1"/>
    <col min="6401" max="6401" width="2.7109375" style="1" customWidth="1"/>
    <col min="6402" max="6409" width="9.140625" style="1"/>
    <col min="6410" max="6411" width="8.85546875" style="1" customWidth="1"/>
    <col min="6412" max="6413" width="9.140625" style="1"/>
    <col min="6414" max="6414" width="32.42578125" style="1" customWidth="1"/>
    <col min="6415" max="6656" width="9.140625" style="1"/>
    <col min="6657" max="6657" width="2.7109375" style="1" customWidth="1"/>
    <col min="6658" max="6665" width="9.140625" style="1"/>
    <col min="6666" max="6667" width="8.85546875" style="1" customWidth="1"/>
    <col min="6668" max="6669" width="9.140625" style="1"/>
    <col min="6670" max="6670" width="32.42578125" style="1" customWidth="1"/>
    <col min="6671" max="6912" width="9.140625" style="1"/>
    <col min="6913" max="6913" width="2.7109375" style="1" customWidth="1"/>
    <col min="6914" max="6921" width="9.140625" style="1"/>
    <col min="6922" max="6923" width="8.85546875" style="1" customWidth="1"/>
    <col min="6924" max="6925" width="9.140625" style="1"/>
    <col min="6926" max="6926" width="32.42578125" style="1" customWidth="1"/>
    <col min="6927" max="7168" width="9.140625" style="1"/>
    <col min="7169" max="7169" width="2.7109375" style="1" customWidth="1"/>
    <col min="7170" max="7177" width="9.140625" style="1"/>
    <col min="7178" max="7179" width="8.85546875" style="1" customWidth="1"/>
    <col min="7180" max="7181" width="9.140625" style="1"/>
    <col min="7182" max="7182" width="32.42578125" style="1" customWidth="1"/>
    <col min="7183" max="7424" width="9.140625" style="1"/>
    <col min="7425" max="7425" width="2.7109375" style="1" customWidth="1"/>
    <col min="7426" max="7433" width="9.140625" style="1"/>
    <col min="7434" max="7435" width="8.85546875" style="1" customWidth="1"/>
    <col min="7436" max="7437" width="9.140625" style="1"/>
    <col min="7438" max="7438" width="32.42578125" style="1" customWidth="1"/>
    <col min="7439" max="7680" width="9.140625" style="1"/>
    <col min="7681" max="7681" width="2.7109375" style="1" customWidth="1"/>
    <col min="7682" max="7689" width="9.140625" style="1"/>
    <col min="7690" max="7691" width="8.85546875" style="1" customWidth="1"/>
    <col min="7692" max="7693" width="9.140625" style="1"/>
    <col min="7694" max="7694" width="32.42578125" style="1" customWidth="1"/>
    <col min="7695" max="7936" width="9.140625" style="1"/>
    <col min="7937" max="7937" width="2.7109375" style="1" customWidth="1"/>
    <col min="7938" max="7945" width="9.140625" style="1"/>
    <col min="7946" max="7947" width="8.85546875" style="1" customWidth="1"/>
    <col min="7948" max="7949" width="9.140625" style="1"/>
    <col min="7950" max="7950" width="32.42578125" style="1" customWidth="1"/>
    <col min="7951" max="8192" width="9.140625" style="1"/>
    <col min="8193" max="8193" width="2.7109375" style="1" customWidth="1"/>
    <col min="8194" max="8201" width="9.140625" style="1"/>
    <col min="8202" max="8203" width="8.85546875" style="1" customWidth="1"/>
    <col min="8204" max="8205" width="9.140625" style="1"/>
    <col min="8206" max="8206" width="32.42578125" style="1" customWidth="1"/>
    <col min="8207" max="8448" width="9.140625" style="1"/>
    <col min="8449" max="8449" width="2.7109375" style="1" customWidth="1"/>
    <col min="8450" max="8457" width="9.140625" style="1"/>
    <col min="8458" max="8459" width="8.85546875" style="1" customWidth="1"/>
    <col min="8460" max="8461" width="9.140625" style="1"/>
    <col min="8462" max="8462" width="32.42578125" style="1" customWidth="1"/>
    <col min="8463" max="8704" width="9.140625" style="1"/>
    <col min="8705" max="8705" width="2.7109375" style="1" customWidth="1"/>
    <col min="8706" max="8713" width="9.140625" style="1"/>
    <col min="8714" max="8715" width="8.85546875" style="1" customWidth="1"/>
    <col min="8716" max="8717" width="9.140625" style="1"/>
    <col min="8718" max="8718" width="32.42578125" style="1" customWidth="1"/>
    <col min="8719" max="8960" width="9.140625" style="1"/>
    <col min="8961" max="8961" width="2.7109375" style="1" customWidth="1"/>
    <col min="8962" max="8969" width="9.140625" style="1"/>
    <col min="8970" max="8971" width="8.85546875" style="1" customWidth="1"/>
    <col min="8972" max="8973" width="9.140625" style="1"/>
    <col min="8974" max="8974" width="32.42578125" style="1" customWidth="1"/>
    <col min="8975" max="9216" width="9.140625" style="1"/>
    <col min="9217" max="9217" width="2.7109375" style="1" customWidth="1"/>
    <col min="9218" max="9225" width="9.140625" style="1"/>
    <col min="9226" max="9227" width="8.85546875" style="1" customWidth="1"/>
    <col min="9228" max="9229" width="9.140625" style="1"/>
    <col min="9230" max="9230" width="32.42578125" style="1" customWidth="1"/>
    <col min="9231" max="9472" width="9.140625" style="1"/>
    <col min="9473" max="9473" width="2.7109375" style="1" customWidth="1"/>
    <col min="9474" max="9481" width="9.140625" style="1"/>
    <col min="9482" max="9483" width="8.85546875" style="1" customWidth="1"/>
    <col min="9484" max="9485" width="9.140625" style="1"/>
    <col min="9486" max="9486" width="32.42578125" style="1" customWidth="1"/>
    <col min="9487" max="9728" width="9.140625" style="1"/>
    <col min="9729" max="9729" width="2.7109375" style="1" customWidth="1"/>
    <col min="9730" max="9737" width="9.140625" style="1"/>
    <col min="9738" max="9739" width="8.85546875" style="1" customWidth="1"/>
    <col min="9740" max="9741" width="9.140625" style="1"/>
    <col min="9742" max="9742" width="32.42578125" style="1" customWidth="1"/>
    <col min="9743" max="9984" width="9.140625" style="1"/>
    <col min="9985" max="9985" width="2.7109375" style="1" customWidth="1"/>
    <col min="9986" max="9993" width="9.140625" style="1"/>
    <col min="9994" max="9995" width="8.85546875" style="1" customWidth="1"/>
    <col min="9996" max="9997" width="9.140625" style="1"/>
    <col min="9998" max="9998" width="32.42578125" style="1" customWidth="1"/>
    <col min="9999" max="10240" width="9.140625" style="1"/>
    <col min="10241" max="10241" width="2.7109375" style="1" customWidth="1"/>
    <col min="10242" max="10249" width="9.140625" style="1"/>
    <col min="10250" max="10251" width="8.85546875" style="1" customWidth="1"/>
    <col min="10252" max="10253" width="9.140625" style="1"/>
    <col min="10254" max="10254" width="32.42578125" style="1" customWidth="1"/>
    <col min="10255" max="10496" width="9.140625" style="1"/>
    <col min="10497" max="10497" width="2.7109375" style="1" customWidth="1"/>
    <col min="10498" max="10505" width="9.140625" style="1"/>
    <col min="10506" max="10507" width="8.85546875" style="1" customWidth="1"/>
    <col min="10508" max="10509" width="9.140625" style="1"/>
    <col min="10510" max="10510" width="32.42578125" style="1" customWidth="1"/>
    <col min="10511" max="10752" width="9.140625" style="1"/>
    <col min="10753" max="10753" width="2.7109375" style="1" customWidth="1"/>
    <col min="10754" max="10761" width="9.140625" style="1"/>
    <col min="10762" max="10763" width="8.85546875" style="1" customWidth="1"/>
    <col min="10764" max="10765" width="9.140625" style="1"/>
    <col min="10766" max="10766" width="32.42578125" style="1" customWidth="1"/>
    <col min="10767" max="11008" width="9.140625" style="1"/>
    <col min="11009" max="11009" width="2.7109375" style="1" customWidth="1"/>
    <col min="11010" max="11017" width="9.140625" style="1"/>
    <col min="11018" max="11019" width="8.85546875" style="1" customWidth="1"/>
    <col min="11020" max="11021" width="9.140625" style="1"/>
    <col min="11022" max="11022" width="32.42578125" style="1" customWidth="1"/>
    <col min="11023" max="11264" width="9.140625" style="1"/>
    <col min="11265" max="11265" width="2.7109375" style="1" customWidth="1"/>
    <col min="11266" max="11273" width="9.140625" style="1"/>
    <col min="11274" max="11275" width="8.85546875" style="1" customWidth="1"/>
    <col min="11276" max="11277" width="9.140625" style="1"/>
    <col min="11278" max="11278" width="32.42578125" style="1" customWidth="1"/>
    <col min="11279" max="11520" width="9.140625" style="1"/>
    <col min="11521" max="11521" width="2.7109375" style="1" customWidth="1"/>
    <col min="11522" max="11529" width="9.140625" style="1"/>
    <col min="11530" max="11531" width="8.85546875" style="1" customWidth="1"/>
    <col min="11532" max="11533" width="9.140625" style="1"/>
    <col min="11534" max="11534" width="32.42578125" style="1" customWidth="1"/>
    <col min="11535" max="11776" width="9.140625" style="1"/>
    <col min="11777" max="11777" width="2.7109375" style="1" customWidth="1"/>
    <col min="11778" max="11785" width="9.140625" style="1"/>
    <col min="11786" max="11787" width="8.85546875" style="1" customWidth="1"/>
    <col min="11788" max="11789" width="9.140625" style="1"/>
    <col min="11790" max="11790" width="32.42578125" style="1" customWidth="1"/>
    <col min="11791" max="12032" width="9.140625" style="1"/>
    <col min="12033" max="12033" width="2.7109375" style="1" customWidth="1"/>
    <col min="12034" max="12041" width="9.140625" style="1"/>
    <col min="12042" max="12043" width="8.85546875" style="1" customWidth="1"/>
    <col min="12044" max="12045" width="9.140625" style="1"/>
    <col min="12046" max="12046" width="32.42578125" style="1" customWidth="1"/>
    <col min="12047" max="12288" width="9.140625" style="1"/>
    <col min="12289" max="12289" width="2.7109375" style="1" customWidth="1"/>
    <col min="12290" max="12297" width="9.140625" style="1"/>
    <col min="12298" max="12299" width="8.85546875" style="1" customWidth="1"/>
    <col min="12300" max="12301" width="9.140625" style="1"/>
    <col min="12302" max="12302" width="32.42578125" style="1" customWidth="1"/>
    <col min="12303" max="12544" width="9.140625" style="1"/>
    <col min="12545" max="12545" width="2.7109375" style="1" customWidth="1"/>
    <col min="12546" max="12553" width="9.140625" style="1"/>
    <col min="12554" max="12555" width="8.85546875" style="1" customWidth="1"/>
    <col min="12556" max="12557" width="9.140625" style="1"/>
    <col min="12558" max="12558" width="32.42578125" style="1" customWidth="1"/>
    <col min="12559" max="12800" width="9.140625" style="1"/>
    <col min="12801" max="12801" width="2.7109375" style="1" customWidth="1"/>
    <col min="12802" max="12809" width="9.140625" style="1"/>
    <col min="12810" max="12811" width="8.85546875" style="1" customWidth="1"/>
    <col min="12812" max="12813" width="9.140625" style="1"/>
    <col min="12814" max="12814" width="32.42578125" style="1" customWidth="1"/>
    <col min="12815" max="13056" width="9.140625" style="1"/>
    <col min="13057" max="13057" width="2.7109375" style="1" customWidth="1"/>
    <col min="13058" max="13065" width="9.140625" style="1"/>
    <col min="13066" max="13067" width="8.85546875" style="1" customWidth="1"/>
    <col min="13068" max="13069" width="9.140625" style="1"/>
    <col min="13070" max="13070" width="32.42578125" style="1" customWidth="1"/>
    <col min="13071" max="13312" width="9.140625" style="1"/>
    <col min="13313" max="13313" width="2.7109375" style="1" customWidth="1"/>
    <col min="13314" max="13321" width="9.140625" style="1"/>
    <col min="13322" max="13323" width="8.85546875" style="1" customWidth="1"/>
    <col min="13324" max="13325" width="9.140625" style="1"/>
    <col min="13326" max="13326" width="32.42578125" style="1" customWidth="1"/>
    <col min="13327" max="13568" width="9.140625" style="1"/>
    <col min="13569" max="13569" width="2.7109375" style="1" customWidth="1"/>
    <col min="13570" max="13577" width="9.140625" style="1"/>
    <col min="13578" max="13579" width="8.85546875" style="1" customWidth="1"/>
    <col min="13580" max="13581" width="9.140625" style="1"/>
    <col min="13582" max="13582" width="32.42578125" style="1" customWidth="1"/>
    <col min="13583" max="13824" width="9.140625" style="1"/>
    <col min="13825" max="13825" width="2.7109375" style="1" customWidth="1"/>
    <col min="13826" max="13833" width="9.140625" style="1"/>
    <col min="13834" max="13835" width="8.85546875" style="1" customWidth="1"/>
    <col min="13836" max="13837" width="9.140625" style="1"/>
    <col min="13838" max="13838" width="32.42578125" style="1" customWidth="1"/>
    <col min="13839" max="14080" width="9.140625" style="1"/>
    <col min="14081" max="14081" width="2.7109375" style="1" customWidth="1"/>
    <col min="14082" max="14089" width="9.140625" style="1"/>
    <col min="14090" max="14091" width="8.85546875" style="1" customWidth="1"/>
    <col min="14092" max="14093" width="9.140625" style="1"/>
    <col min="14094" max="14094" width="32.42578125" style="1" customWidth="1"/>
    <col min="14095" max="14336" width="9.140625" style="1"/>
    <col min="14337" max="14337" width="2.7109375" style="1" customWidth="1"/>
    <col min="14338" max="14345" width="9.140625" style="1"/>
    <col min="14346" max="14347" width="8.85546875" style="1" customWidth="1"/>
    <col min="14348" max="14349" width="9.140625" style="1"/>
    <col min="14350" max="14350" width="32.42578125" style="1" customWidth="1"/>
    <col min="14351" max="14592" width="9.140625" style="1"/>
    <col min="14593" max="14593" width="2.7109375" style="1" customWidth="1"/>
    <col min="14594" max="14601" width="9.140625" style="1"/>
    <col min="14602" max="14603" width="8.85546875" style="1" customWidth="1"/>
    <col min="14604" max="14605" width="9.140625" style="1"/>
    <col min="14606" max="14606" width="32.42578125" style="1" customWidth="1"/>
    <col min="14607" max="14848" width="9.140625" style="1"/>
    <col min="14849" max="14849" width="2.7109375" style="1" customWidth="1"/>
    <col min="14850" max="14857" width="9.140625" style="1"/>
    <col min="14858" max="14859" width="8.85546875" style="1" customWidth="1"/>
    <col min="14860" max="14861" width="9.140625" style="1"/>
    <col min="14862" max="14862" width="32.42578125" style="1" customWidth="1"/>
    <col min="14863" max="15104" width="9.140625" style="1"/>
    <col min="15105" max="15105" width="2.7109375" style="1" customWidth="1"/>
    <col min="15106" max="15113" width="9.140625" style="1"/>
    <col min="15114" max="15115" width="8.85546875" style="1" customWidth="1"/>
    <col min="15116" max="15117" width="9.140625" style="1"/>
    <col min="15118" max="15118" width="32.42578125" style="1" customWidth="1"/>
    <col min="15119" max="15360" width="9.140625" style="1"/>
    <col min="15361" max="15361" width="2.7109375" style="1" customWidth="1"/>
    <col min="15362" max="15369" width="9.140625" style="1"/>
    <col min="15370" max="15371" width="8.85546875" style="1" customWidth="1"/>
    <col min="15372" max="15373" width="9.140625" style="1"/>
    <col min="15374" max="15374" width="32.42578125" style="1" customWidth="1"/>
    <col min="15375" max="15616" width="9.140625" style="1"/>
    <col min="15617" max="15617" width="2.7109375" style="1" customWidth="1"/>
    <col min="15618" max="15625" width="9.140625" style="1"/>
    <col min="15626" max="15627" width="8.85546875" style="1" customWidth="1"/>
    <col min="15628" max="15629" width="9.140625" style="1"/>
    <col min="15630" max="15630" width="32.42578125" style="1" customWidth="1"/>
    <col min="15631" max="15872" width="9.140625" style="1"/>
    <col min="15873" max="15873" width="2.7109375" style="1" customWidth="1"/>
    <col min="15874" max="15881" width="9.140625" style="1"/>
    <col min="15882" max="15883" width="8.85546875" style="1" customWidth="1"/>
    <col min="15884" max="15885" width="9.140625" style="1"/>
    <col min="15886" max="15886" width="32.42578125" style="1" customWidth="1"/>
    <col min="15887" max="16128" width="9.140625" style="1"/>
    <col min="16129" max="16129" width="2.7109375" style="1" customWidth="1"/>
    <col min="16130" max="16137" width="9.140625" style="1"/>
    <col min="16138" max="16139" width="8.85546875" style="1" customWidth="1"/>
    <col min="16140" max="16141" width="9.140625" style="1"/>
    <col min="16142" max="16142" width="32.42578125" style="1" customWidth="1"/>
    <col min="16143" max="16384" width="9.140625" style="1"/>
  </cols>
  <sheetData>
    <row r="1" spans="1:11" ht="18.75" thickBot="1">
      <c r="A1" s="3" t="str">
        <f ca="1">MID(CELL("filename",A1),FIND("]",CELL("filename",A1))+1,256)</f>
        <v>VlookUp</v>
      </c>
      <c r="B1" s="4"/>
      <c r="C1" s="4"/>
      <c r="D1" s="4"/>
      <c r="E1" s="4"/>
      <c r="F1" s="4"/>
      <c r="G1" s="4"/>
      <c r="H1" s="4"/>
      <c r="I1" s="4"/>
      <c r="J1" s="4"/>
      <c r="K1" s="25"/>
    </row>
    <row r="2" spans="1:11" ht="13.5" thickTop="1"/>
    <row r="3" spans="1:11">
      <c r="H3" s="26"/>
    </row>
    <row r="4" spans="1:11">
      <c r="H4" s="26"/>
    </row>
    <row r="5" spans="1:11">
      <c r="C5" s="27" t="s">
        <v>26</v>
      </c>
      <c r="D5" s="27" t="s">
        <v>27</v>
      </c>
      <c r="E5" s="27" t="s">
        <v>28</v>
      </c>
      <c r="F5" s="27" t="s">
        <v>29</v>
      </c>
      <c r="G5" s="27" t="s">
        <v>30</v>
      </c>
      <c r="H5" s="27" t="s">
        <v>31</v>
      </c>
    </row>
    <row r="6" spans="1:11">
      <c r="C6" s="28" t="s">
        <v>9</v>
      </c>
      <c r="D6" s="12">
        <v>10</v>
      </c>
      <c r="E6" s="12">
        <v>20</v>
      </c>
      <c r="F6" s="12">
        <v>30</v>
      </c>
      <c r="G6" s="12">
        <v>40</v>
      </c>
      <c r="H6" s="12">
        <v>50</v>
      </c>
    </row>
    <row r="7" spans="1:11">
      <c r="C7" s="28" t="s">
        <v>10</v>
      </c>
      <c r="D7" s="12">
        <v>80</v>
      </c>
      <c r="E7" s="12">
        <v>90</v>
      </c>
      <c r="F7" s="12">
        <v>100</v>
      </c>
      <c r="G7" s="12">
        <v>110</v>
      </c>
      <c r="H7" s="12">
        <v>120</v>
      </c>
    </row>
    <row r="8" spans="1:11">
      <c r="C8" s="28" t="s">
        <v>32</v>
      </c>
      <c r="D8" s="12">
        <v>97</v>
      </c>
      <c r="E8" s="12">
        <v>69</v>
      </c>
      <c r="F8" s="12">
        <v>45</v>
      </c>
      <c r="G8" s="12">
        <v>51</v>
      </c>
      <c r="H8" s="12">
        <v>77</v>
      </c>
    </row>
    <row r="11" spans="1:11">
      <c r="C11" s="29"/>
      <c r="D11" s="30"/>
      <c r="E11" s="30"/>
      <c r="F11" s="31" t="s">
        <v>33</v>
      </c>
      <c r="G11" s="12" t="s">
        <v>10</v>
      </c>
    </row>
    <row r="12" spans="1:11">
      <c r="C12" s="29"/>
      <c r="D12" s="30"/>
      <c r="E12" s="30"/>
      <c r="F12" s="31" t="s">
        <v>34</v>
      </c>
      <c r="G12" s="12">
        <v>4</v>
      </c>
    </row>
    <row r="14" spans="1:11">
      <c r="E14" s="29"/>
      <c r="F14" s="31" t="s">
        <v>35</v>
      </c>
      <c r="G14" s="21">
        <f>VLOOKUP(G11,C6:H8,G12,FALSE)</f>
        <v>100</v>
      </c>
    </row>
    <row r="15" spans="1:11">
      <c r="G15" s="6" t="s">
        <v>36</v>
      </c>
    </row>
    <row r="17" spans="2:15" ht="13.5" thickBot="1">
      <c r="B17" s="5" t="s">
        <v>6</v>
      </c>
      <c r="C17" s="5"/>
      <c r="D17" s="5"/>
      <c r="E17" s="5"/>
      <c r="F17" s="5"/>
      <c r="G17" s="5"/>
      <c r="H17" s="5"/>
      <c r="I17" s="5"/>
      <c r="J17" s="5"/>
      <c r="K17" s="23"/>
    </row>
    <row r="18" spans="2:15">
      <c r="B18" s="6" t="s">
        <v>37</v>
      </c>
    </row>
    <row r="19" spans="2:15">
      <c r="B19" s="1" t="s">
        <v>38</v>
      </c>
    </row>
    <row r="21" spans="2:15" ht="13.5" thickBot="1">
      <c r="B21" s="5" t="s">
        <v>24</v>
      </c>
      <c r="C21" s="5"/>
      <c r="D21" s="5"/>
      <c r="E21" s="5"/>
      <c r="F21" s="5"/>
      <c r="G21" s="5"/>
      <c r="H21" s="5"/>
      <c r="I21" s="5"/>
      <c r="J21" s="5"/>
      <c r="K21" s="23"/>
    </row>
    <row r="22" spans="2:15">
      <c r="B22" s="7" t="s">
        <v>39</v>
      </c>
    </row>
    <row r="23" spans="2:15">
      <c r="B23" s="1" t="s">
        <v>40</v>
      </c>
    </row>
    <row r="24" spans="2:15">
      <c r="B24" s="1" t="s">
        <v>41</v>
      </c>
    </row>
    <row r="25" spans="2:15">
      <c r="B25" s="1" t="s">
        <v>42</v>
      </c>
    </row>
    <row r="26" spans="2:15">
      <c r="B26" s="1" t="s">
        <v>43</v>
      </c>
    </row>
    <row r="28" spans="2:15" ht="13.5" thickBot="1">
      <c r="B28" s="5" t="s">
        <v>44</v>
      </c>
      <c r="C28" s="5"/>
      <c r="D28" s="5"/>
      <c r="E28" s="5"/>
      <c r="F28" s="5"/>
      <c r="G28" s="5"/>
      <c r="H28" s="5"/>
      <c r="I28" s="5"/>
      <c r="J28" s="5"/>
      <c r="K28" s="23"/>
    </row>
    <row r="29" spans="2:15">
      <c r="B29" s="1" t="s">
        <v>45</v>
      </c>
    </row>
    <row r="30" spans="2:15">
      <c r="B30" s="1" t="s">
        <v>46</v>
      </c>
      <c r="M30" s="32" t="s">
        <v>47</v>
      </c>
      <c r="N30" s="32" t="s">
        <v>48</v>
      </c>
      <c r="O30" s="32" t="s">
        <v>49</v>
      </c>
    </row>
    <row r="31" spans="2:15">
      <c r="B31" s="1" t="s">
        <v>50</v>
      </c>
      <c r="M31" s="33" t="s">
        <v>51</v>
      </c>
      <c r="N31" s="34" t="s">
        <v>52</v>
      </c>
      <c r="O31" s="33" t="s">
        <v>53</v>
      </c>
    </row>
    <row r="32" spans="2:15" ht="25.5">
      <c r="B32" s="1" t="s">
        <v>54</v>
      </c>
      <c r="M32" s="33" t="s">
        <v>55</v>
      </c>
      <c r="N32" s="34" t="s">
        <v>56</v>
      </c>
      <c r="O32" s="33" t="s">
        <v>57</v>
      </c>
    </row>
    <row r="33" spans="2:15">
      <c r="M33" s="33" t="s">
        <v>58</v>
      </c>
      <c r="N33" s="34" t="s">
        <v>59</v>
      </c>
      <c r="O33" s="33">
        <v>18</v>
      </c>
    </row>
    <row r="34" spans="2:15">
      <c r="B34" s="1" t="s">
        <v>60</v>
      </c>
      <c r="M34" s="33" t="s">
        <v>55</v>
      </c>
      <c r="N34" s="34" t="s">
        <v>61</v>
      </c>
      <c r="O34" s="33" t="e">
        <v>#N/A</v>
      </c>
    </row>
    <row r="35" spans="2:15">
      <c r="B35" s="1" t="s">
        <v>62</v>
      </c>
    </row>
    <row r="36" spans="2:15">
      <c r="B36" s="1" t="s">
        <v>63</v>
      </c>
    </row>
    <row r="37" spans="2:15">
      <c r="B37" s="1" t="s">
        <v>64</v>
      </c>
    </row>
    <row r="39" spans="2:15">
      <c r="B39" s="1" t="s">
        <v>65</v>
      </c>
    </row>
    <row r="40" spans="2:15">
      <c r="B40" s="1" t="s">
        <v>66</v>
      </c>
    </row>
    <row r="42" spans="2:15">
      <c r="B42" s="1" t="s">
        <v>67</v>
      </c>
    </row>
    <row r="43" spans="2:15">
      <c r="B43" s="1" t="s">
        <v>68</v>
      </c>
    </row>
    <row r="46" spans="2:15">
      <c r="D46" s="28" t="s">
        <v>9</v>
      </c>
      <c r="E46" s="28" t="s">
        <v>10</v>
      </c>
      <c r="F46" s="28" t="s">
        <v>32</v>
      </c>
    </row>
    <row r="47" spans="2:15">
      <c r="C47" s="28" t="s">
        <v>69</v>
      </c>
      <c r="D47" s="12">
        <v>10</v>
      </c>
      <c r="E47" s="12">
        <v>80</v>
      </c>
      <c r="F47" s="12">
        <v>97</v>
      </c>
    </row>
    <row r="48" spans="2:15">
      <c r="C48" s="28" t="s">
        <v>70</v>
      </c>
      <c r="D48" s="12">
        <v>20</v>
      </c>
      <c r="E48" s="12">
        <v>90</v>
      </c>
      <c r="F48" s="12">
        <v>69</v>
      </c>
    </row>
    <row r="49" spans="2:11">
      <c r="C49" s="28" t="s">
        <v>71</v>
      </c>
      <c r="D49" s="12">
        <v>30</v>
      </c>
      <c r="E49" s="12">
        <v>100</v>
      </c>
      <c r="F49" s="12">
        <v>45</v>
      </c>
    </row>
    <row r="50" spans="2:11">
      <c r="C50" s="28" t="s">
        <v>72</v>
      </c>
      <c r="D50" s="12">
        <v>40</v>
      </c>
      <c r="E50" s="12">
        <v>110</v>
      </c>
      <c r="F50" s="12">
        <v>51</v>
      </c>
    </row>
    <row r="51" spans="2:11">
      <c r="C51" s="28" t="s">
        <v>73</v>
      </c>
      <c r="D51" s="12">
        <v>50</v>
      </c>
      <c r="E51" s="12">
        <v>120</v>
      </c>
      <c r="F51" s="12">
        <v>77</v>
      </c>
    </row>
    <row r="53" spans="2:11">
      <c r="B53" s="29"/>
      <c r="C53" s="30"/>
      <c r="D53" s="30"/>
      <c r="E53" s="31" t="s">
        <v>74</v>
      </c>
      <c r="F53" s="12" t="s">
        <v>75</v>
      </c>
    </row>
    <row r="54" spans="2:11">
      <c r="B54" s="29"/>
      <c r="C54" s="30"/>
      <c r="D54" s="30"/>
      <c r="E54" s="31" t="s">
        <v>33</v>
      </c>
      <c r="F54" s="12" t="s">
        <v>76</v>
      </c>
    </row>
    <row r="56" spans="2:11">
      <c r="D56" s="29"/>
      <c r="E56" s="31" t="s">
        <v>35</v>
      </c>
      <c r="F56" s="21">
        <f>VLOOKUP(F53,C47:F51,MATCH(F54,D46:F46,0)+1,FALSE)</f>
        <v>69</v>
      </c>
    </row>
    <row r="57" spans="2:11">
      <c r="F57" s="35" t="s">
        <v>77</v>
      </c>
    </row>
    <row r="59" spans="2:11" ht="13.5" thickBot="1">
      <c r="B59" s="5" t="s">
        <v>78</v>
      </c>
      <c r="C59" s="5"/>
      <c r="D59" s="5"/>
      <c r="E59" s="5"/>
      <c r="F59" s="5"/>
      <c r="G59" s="5"/>
      <c r="H59" s="5"/>
      <c r="I59" s="5"/>
      <c r="J59" s="5"/>
      <c r="K59" s="23"/>
    </row>
    <row r="60" spans="2:11">
      <c r="B60" s="1" t="s">
        <v>79</v>
      </c>
    </row>
    <row r="61" spans="2:11">
      <c r="B61" s="1" t="s">
        <v>80</v>
      </c>
    </row>
    <row r="62" spans="2:11">
      <c r="B62" s="1" t="s">
        <v>81</v>
      </c>
    </row>
    <row r="63" spans="2:11">
      <c r="B63" s="1" t="s">
        <v>82</v>
      </c>
    </row>
    <row r="64" spans="2:11">
      <c r="B64" s="1" t="s">
        <v>83</v>
      </c>
    </row>
    <row r="66" spans="2:9">
      <c r="B66" s="1" t="s">
        <v>84</v>
      </c>
    </row>
    <row r="67" spans="2:9">
      <c r="B67" s="1" t="s">
        <v>85</v>
      </c>
    </row>
    <row r="68" spans="2:9">
      <c r="B68" s="1" t="s">
        <v>86</v>
      </c>
    </row>
    <row r="70" spans="2:9" ht="13.5" thickBot="1">
      <c r="B70" s="28" t="s">
        <v>87</v>
      </c>
      <c r="C70" s="28" t="s">
        <v>88</v>
      </c>
      <c r="D70" s="28" t="s">
        <v>89</v>
      </c>
      <c r="F70" s="1" t="s">
        <v>90</v>
      </c>
    </row>
    <row r="71" spans="2:9" ht="14.25" thickTop="1" thickBot="1">
      <c r="B71" s="36" t="s">
        <v>91</v>
      </c>
      <c r="C71" s="37" t="s">
        <v>92</v>
      </c>
      <c r="D71" s="38">
        <f>VLOOKUP(C71,F72:I76,MATCH(B71,G71:I71,0)+1,FALSE)</f>
        <v>50</v>
      </c>
      <c r="G71" s="39" t="s">
        <v>91</v>
      </c>
      <c r="H71" s="40" t="s">
        <v>93</v>
      </c>
      <c r="I71" s="41" t="s">
        <v>94</v>
      </c>
    </row>
    <row r="72" spans="2:9" ht="13.5" thickTop="1">
      <c r="B72" s="36" t="s">
        <v>94</v>
      </c>
      <c r="C72" s="37" t="s">
        <v>95</v>
      </c>
      <c r="D72" s="38">
        <f>VLOOKUP(C72,F72:I76,MATCH(B72,G71:I71,0)+1,FALSE)</f>
        <v>600</v>
      </c>
      <c r="F72" s="42" t="s">
        <v>95</v>
      </c>
      <c r="G72" s="43">
        <v>500</v>
      </c>
      <c r="H72" s="43">
        <v>450</v>
      </c>
      <c r="I72" s="44">
        <v>600</v>
      </c>
    </row>
    <row r="73" spans="2:9">
      <c r="B73" s="36" t="s">
        <v>93</v>
      </c>
      <c r="C73" s="37" t="s">
        <v>96</v>
      </c>
      <c r="D73" s="38">
        <f>VLOOKUP(C73,F72:I76,MATCH(B73,G71:I71,0)+1,FALSE)</f>
        <v>1200</v>
      </c>
      <c r="F73" s="45" t="s">
        <v>96</v>
      </c>
      <c r="G73" s="12">
        <v>1000</v>
      </c>
      <c r="H73" s="12">
        <v>1200</v>
      </c>
      <c r="I73" s="46">
        <v>800</v>
      </c>
    </row>
    <row r="74" spans="2:9">
      <c r="B74" s="36" t="s">
        <v>94</v>
      </c>
      <c r="C74" s="37" t="s">
        <v>97</v>
      </c>
      <c r="D74" s="38">
        <f>VLOOKUP(C74,F72:I76,MATCH(B74,G71:I71,0)+1,FALSE)</f>
        <v>275</v>
      </c>
      <c r="F74" s="45" t="s">
        <v>97</v>
      </c>
      <c r="G74" s="12">
        <v>250</v>
      </c>
      <c r="H74" s="12">
        <v>350</v>
      </c>
      <c r="I74" s="46">
        <v>275</v>
      </c>
    </row>
    <row r="75" spans="2:9">
      <c r="B75" s="36" t="s">
        <v>93</v>
      </c>
      <c r="C75" s="37" t="s">
        <v>92</v>
      </c>
      <c r="D75" s="38">
        <f>VLOOKUP(C75,F72:I76,MATCH(B75,G71:I71,0)+1,FALSE)</f>
        <v>70</v>
      </c>
      <c r="F75" s="45" t="s">
        <v>92</v>
      </c>
      <c r="G75" s="12">
        <v>50</v>
      </c>
      <c r="H75" s="12">
        <v>70</v>
      </c>
      <c r="I75" s="46">
        <v>45</v>
      </c>
    </row>
    <row r="76" spans="2:9" ht="13.5" thickBot="1">
      <c r="B76" s="36" t="s">
        <v>93</v>
      </c>
      <c r="C76" s="37" t="s">
        <v>98</v>
      </c>
      <c r="D76" s="38">
        <f>VLOOKUP(C76,F72:I76,MATCH(B76,G71:I71,0)+1,FALSE)</f>
        <v>290</v>
      </c>
      <c r="F76" s="47" t="s">
        <v>98</v>
      </c>
      <c r="G76" s="48">
        <v>300</v>
      </c>
      <c r="H76" s="48">
        <v>290</v>
      </c>
      <c r="I76" s="49">
        <v>310</v>
      </c>
    </row>
    <row r="77" spans="2:9" ht="13.5" thickTop="1">
      <c r="B77" s="36" t="s">
        <v>91</v>
      </c>
      <c r="C77" s="37" t="s">
        <v>95</v>
      </c>
      <c r="D77" s="38">
        <f>VLOOKUP(C77,F72:I76,MATCH(B77,G71:I71,0)+1,FALSE)</f>
        <v>500</v>
      </c>
    </row>
    <row r="78" spans="2:9">
      <c r="B78" s="36" t="s">
        <v>93</v>
      </c>
      <c r="C78" s="37" t="s">
        <v>96</v>
      </c>
      <c r="D78" s="38">
        <f>VLOOKUP(C78,F72:I76,MATCH(B78,G71:I71,0)+1,FALSE)</f>
        <v>1200</v>
      </c>
    </row>
    <row r="79" spans="2:9">
      <c r="D79" s="6" t="s">
        <v>99</v>
      </c>
    </row>
    <row r="82" spans="2:11" ht="13.5" thickBot="1">
      <c r="B82" s="5" t="s">
        <v>100</v>
      </c>
      <c r="C82" s="5"/>
      <c r="D82" s="5"/>
      <c r="E82" s="5"/>
      <c r="F82" s="5"/>
      <c r="G82" s="5"/>
      <c r="H82" s="5"/>
      <c r="I82" s="5"/>
      <c r="J82" s="5"/>
      <c r="K82" s="23"/>
    </row>
    <row r="83" spans="2:11">
      <c r="B83" s="1" t="s">
        <v>101</v>
      </c>
    </row>
    <row r="84" spans="2:11">
      <c r="B84" s="1" t="s">
        <v>102</v>
      </c>
    </row>
    <row r="85" spans="2:11">
      <c r="B85" s="1" t="s">
        <v>103</v>
      </c>
    </row>
    <row r="86" spans="2:11">
      <c r="B86" s="1" t="s">
        <v>104</v>
      </c>
    </row>
    <row r="88" spans="2:11">
      <c r="B88" s="1" t="s">
        <v>105</v>
      </c>
    </row>
    <row r="89" spans="2:11">
      <c r="B89" s="1" t="s">
        <v>106</v>
      </c>
    </row>
    <row r="91" spans="2:11">
      <c r="B91" s="1" t="s">
        <v>107</v>
      </c>
    </row>
    <row r="92" spans="2:11">
      <c r="B92" s="1" t="s">
        <v>108</v>
      </c>
    </row>
    <row r="93" spans="2:11">
      <c r="B93" s="1" t="s">
        <v>109</v>
      </c>
    </row>
    <row r="94" spans="2:11">
      <c r="B94" s="1" t="s">
        <v>110</v>
      </c>
    </row>
    <row r="95" spans="2:11">
      <c r="B95" s="1" t="s">
        <v>111</v>
      </c>
    </row>
    <row r="96" spans="2:11">
      <c r="B96" s="1" t="s">
        <v>112</v>
      </c>
    </row>
    <row r="98" spans="2:9">
      <c r="B98" s="1" t="s">
        <v>113</v>
      </c>
    </row>
    <row r="99" spans="2:9">
      <c r="B99" s="1" t="s">
        <v>114</v>
      </c>
    </row>
    <row r="100" spans="2:9">
      <c r="B100" s="1" t="s">
        <v>115</v>
      </c>
    </row>
    <row r="101" spans="2:9">
      <c r="B101" s="1" t="s">
        <v>116</v>
      </c>
    </row>
    <row r="102" spans="2:9">
      <c r="B102" s="1" t="s">
        <v>117</v>
      </c>
    </row>
    <row r="103" spans="2:9">
      <c r="B103" s="1" t="s">
        <v>118</v>
      </c>
    </row>
    <row r="104" spans="2:9">
      <c r="B104" s="1" t="s">
        <v>119</v>
      </c>
    </row>
    <row r="105" spans="2:9">
      <c r="B105" s="1" t="s">
        <v>120</v>
      </c>
    </row>
    <row r="106" spans="2:9">
      <c r="B106" s="1" t="s">
        <v>121</v>
      </c>
    </row>
    <row r="107" spans="2:9">
      <c r="B107" s="1" t="s">
        <v>122</v>
      </c>
    </row>
    <row r="109" spans="2:9" ht="13.5" thickBot="1">
      <c r="G109" s="50" t="s">
        <v>123</v>
      </c>
      <c r="H109" s="50"/>
      <c r="I109" s="50"/>
    </row>
    <row r="110" spans="2:9" ht="14.25" thickTop="1" thickBot="1">
      <c r="C110" s="50" t="s">
        <v>124</v>
      </c>
      <c r="D110" s="50"/>
      <c r="G110" s="51" t="s">
        <v>125</v>
      </c>
      <c r="H110" s="52" t="s">
        <v>126</v>
      </c>
      <c r="I110" s="53" t="s">
        <v>127</v>
      </c>
    </row>
    <row r="111" spans="2:9" ht="13.5" thickTop="1">
      <c r="C111" s="54" t="s">
        <v>125</v>
      </c>
      <c r="D111" s="55">
        <v>2</v>
      </c>
      <c r="F111" s="56">
        <v>1</v>
      </c>
      <c r="G111" s="57">
        <v>0</v>
      </c>
      <c r="H111" s="57">
        <v>0</v>
      </c>
      <c r="I111" s="58">
        <v>0</v>
      </c>
    </row>
    <row r="112" spans="2:9">
      <c r="C112" s="59" t="s">
        <v>126</v>
      </c>
      <c r="D112" s="60">
        <v>1</v>
      </c>
      <c r="F112" s="61">
        <v>100</v>
      </c>
      <c r="G112" s="62">
        <v>0.06</v>
      </c>
      <c r="H112" s="62">
        <v>0.03</v>
      </c>
      <c r="I112" s="63">
        <v>0.12</v>
      </c>
    </row>
    <row r="113" spans="2:9" ht="13.5" thickBot="1">
      <c r="C113" s="64" t="s">
        <v>127</v>
      </c>
      <c r="D113" s="65">
        <v>3</v>
      </c>
      <c r="F113" s="66">
        <v>300</v>
      </c>
      <c r="G113" s="67">
        <v>0.08</v>
      </c>
      <c r="H113" s="67">
        <v>0.05</v>
      </c>
      <c r="I113" s="68">
        <v>0.15</v>
      </c>
    </row>
    <row r="114" spans="2:9" ht="13.5" thickTop="1"/>
    <row r="116" spans="2:9">
      <c r="C116" s="50" t="s">
        <v>128</v>
      </c>
      <c r="D116" s="50"/>
      <c r="E116" s="50"/>
      <c r="F116" s="50"/>
      <c r="G116" s="50"/>
    </row>
    <row r="117" spans="2:9">
      <c r="C117" s="28" t="s">
        <v>129</v>
      </c>
      <c r="D117" s="28" t="s">
        <v>130</v>
      </c>
      <c r="E117" s="28" t="s">
        <v>131</v>
      </c>
      <c r="F117" s="28" t="s">
        <v>132</v>
      </c>
      <c r="G117" s="28" t="s">
        <v>1</v>
      </c>
    </row>
    <row r="118" spans="2:9">
      <c r="C118" s="37" t="s">
        <v>125</v>
      </c>
      <c r="D118" s="36">
        <v>100</v>
      </c>
      <c r="E118" s="69">
        <f>VLOOKUP(C118,C111:D113,2,FALSE)</f>
        <v>2</v>
      </c>
      <c r="F118" s="70">
        <f>VLOOKUP(D118,F111:I113,MATCH(C118,G110:I110,0)+1,TRUE)</f>
        <v>0.06</v>
      </c>
      <c r="G118" s="69">
        <f t="shared" ref="G118:G123" si="0">(D118*E118)-(D118*E118*F118)</f>
        <v>188</v>
      </c>
    </row>
    <row r="119" spans="2:9">
      <c r="C119" s="37" t="s">
        <v>126</v>
      </c>
      <c r="D119" s="36">
        <v>200</v>
      </c>
      <c r="E119" s="69">
        <f>VLOOKUP(C119,C111:D113,2,FALSE)</f>
        <v>1</v>
      </c>
      <c r="F119" s="70">
        <f>VLOOKUP(D119,F111:I113,MATCH(C119,G110:I110,0)+1,TRUE)</f>
        <v>0.03</v>
      </c>
      <c r="G119" s="69">
        <f t="shared" si="0"/>
        <v>194</v>
      </c>
    </row>
    <row r="120" spans="2:9">
      <c r="C120" s="37" t="s">
        <v>127</v>
      </c>
      <c r="D120" s="36">
        <v>150</v>
      </c>
      <c r="E120" s="69">
        <f>VLOOKUP(C120,C111:D113,2,FALSE)</f>
        <v>3</v>
      </c>
      <c r="F120" s="70">
        <f>VLOOKUP(D120,F111:I113,MATCH(C120,G110:I110,0)+1,TRUE)</f>
        <v>0.12</v>
      </c>
      <c r="G120" s="69">
        <f t="shared" si="0"/>
        <v>396</v>
      </c>
    </row>
    <row r="121" spans="2:9">
      <c r="C121" s="37" t="s">
        <v>125</v>
      </c>
      <c r="D121" s="36">
        <v>225</v>
      </c>
      <c r="E121" s="69">
        <f>VLOOKUP(C121,C111:D113,2,FALSE)</f>
        <v>2</v>
      </c>
      <c r="F121" s="70">
        <f>VLOOKUP(D121,F111:I113,MATCH(C121,G110:I110,0)+1,TRUE)</f>
        <v>0.06</v>
      </c>
      <c r="G121" s="69">
        <f t="shared" si="0"/>
        <v>423</v>
      </c>
    </row>
    <row r="122" spans="2:9">
      <c r="C122" s="37" t="s">
        <v>126</v>
      </c>
      <c r="D122" s="36">
        <v>50</v>
      </c>
      <c r="E122" s="69">
        <f>VLOOKUP(C122,C111:D113,2,FALSE)</f>
        <v>1</v>
      </c>
      <c r="F122" s="70">
        <f>VLOOKUP(D122,F111:I113,MATCH(C122,G110:I110,0)+1,TRUE)</f>
        <v>0</v>
      </c>
      <c r="G122" s="69">
        <f t="shared" si="0"/>
        <v>50</v>
      </c>
    </row>
    <row r="123" spans="2:9">
      <c r="C123" s="37" t="s">
        <v>127</v>
      </c>
      <c r="D123" s="36">
        <v>500</v>
      </c>
      <c r="E123" s="69">
        <f>VLOOKUP(C123,C111:D113,2,FALSE)</f>
        <v>3</v>
      </c>
      <c r="F123" s="70">
        <f>VLOOKUP(D123,F111:I113,MATCH(C123,G110:I110,0)+1,TRUE)</f>
        <v>0.15</v>
      </c>
      <c r="G123" s="69">
        <f t="shared" si="0"/>
        <v>1275</v>
      </c>
    </row>
    <row r="125" spans="2:9">
      <c r="B125" s="1" t="s">
        <v>133</v>
      </c>
    </row>
    <row r="126" spans="2:9">
      <c r="B126" s="1" t="s">
        <v>131</v>
      </c>
      <c r="C126" s="6" t="s">
        <v>134</v>
      </c>
    </row>
    <row r="127" spans="2:9">
      <c r="B127" s="1" t="s">
        <v>132</v>
      </c>
      <c r="C127" s="6" t="s">
        <v>135</v>
      </c>
    </row>
    <row r="128" spans="2:9">
      <c r="B128" s="1" t="s">
        <v>1</v>
      </c>
      <c r="C128" s="6" t="s">
        <v>136</v>
      </c>
    </row>
  </sheetData>
  <pageMargins left="0.75" right="0.75" top="1" bottom="1" header="0.5" footer="0.5"/>
  <headerFooter alignWithMargins="0"/>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M15"/>
  <sheetViews>
    <sheetView workbookViewId="0">
      <selection activeCell="K12" sqref="K12"/>
    </sheetView>
  </sheetViews>
  <sheetFormatPr defaultRowHeight="12.75"/>
  <cols>
    <col min="1" max="1" width="4.7109375" style="1" customWidth="1"/>
    <col min="2" max="10" width="9.140625" style="1"/>
    <col min="11" max="11" width="5.28515625" style="1" customWidth="1"/>
    <col min="12" max="12" width="30.140625" style="1" customWidth="1"/>
    <col min="13" max="13" width="8.85546875" style="1" customWidth="1"/>
    <col min="14" max="256" width="9.140625" style="1"/>
    <col min="257" max="257" width="4.7109375" style="1" customWidth="1"/>
    <col min="258" max="266" width="9.140625" style="1"/>
    <col min="267" max="267" width="5.28515625" style="1" customWidth="1"/>
    <col min="268" max="268" width="30.140625" style="1" customWidth="1"/>
    <col min="269" max="269" width="8.85546875" style="1" customWidth="1"/>
    <col min="270" max="512" width="9.140625" style="1"/>
    <col min="513" max="513" width="4.7109375" style="1" customWidth="1"/>
    <col min="514" max="522" width="9.140625" style="1"/>
    <col min="523" max="523" width="5.28515625" style="1" customWidth="1"/>
    <col min="524" max="524" width="30.140625" style="1" customWidth="1"/>
    <col min="525" max="525" width="8.85546875" style="1" customWidth="1"/>
    <col min="526" max="768" width="9.140625" style="1"/>
    <col min="769" max="769" width="4.7109375" style="1" customWidth="1"/>
    <col min="770" max="778" width="9.140625" style="1"/>
    <col min="779" max="779" width="5.28515625" style="1" customWidth="1"/>
    <col min="780" max="780" width="30.140625" style="1" customWidth="1"/>
    <col min="781" max="781" width="8.85546875" style="1" customWidth="1"/>
    <col min="782" max="1024" width="9.140625" style="1"/>
    <col min="1025" max="1025" width="4.7109375" style="1" customWidth="1"/>
    <col min="1026" max="1034" width="9.140625" style="1"/>
    <col min="1035" max="1035" width="5.28515625" style="1" customWidth="1"/>
    <col min="1036" max="1036" width="30.140625" style="1" customWidth="1"/>
    <col min="1037" max="1037" width="8.85546875" style="1" customWidth="1"/>
    <col min="1038" max="1280" width="9.140625" style="1"/>
    <col min="1281" max="1281" width="4.7109375" style="1" customWidth="1"/>
    <col min="1282" max="1290" width="9.140625" style="1"/>
    <col min="1291" max="1291" width="5.28515625" style="1" customWidth="1"/>
    <col min="1292" max="1292" width="30.140625" style="1" customWidth="1"/>
    <col min="1293" max="1293" width="8.85546875" style="1" customWidth="1"/>
    <col min="1294" max="1536" width="9.140625" style="1"/>
    <col min="1537" max="1537" width="4.7109375" style="1" customWidth="1"/>
    <col min="1538" max="1546" width="9.140625" style="1"/>
    <col min="1547" max="1547" width="5.28515625" style="1" customWidth="1"/>
    <col min="1548" max="1548" width="30.140625" style="1" customWidth="1"/>
    <col min="1549" max="1549" width="8.85546875" style="1" customWidth="1"/>
    <col min="1550" max="1792" width="9.140625" style="1"/>
    <col min="1793" max="1793" width="4.7109375" style="1" customWidth="1"/>
    <col min="1794" max="1802" width="9.140625" style="1"/>
    <col min="1803" max="1803" width="5.28515625" style="1" customWidth="1"/>
    <col min="1804" max="1804" width="30.140625" style="1" customWidth="1"/>
    <col min="1805" max="1805" width="8.85546875" style="1" customWidth="1"/>
    <col min="1806" max="2048" width="9.140625" style="1"/>
    <col min="2049" max="2049" width="4.7109375" style="1" customWidth="1"/>
    <col min="2050" max="2058" width="9.140625" style="1"/>
    <col min="2059" max="2059" width="5.28515625" style="1" customWidth="1"/>
    <col min="2060" max="2060" width="30.140625" style="1" customWidth="1"/>
    <col min="2061" max="2061" width="8.85546875" style="1" customWidth="1"/>
    <col min="2062" max="2304" width="9.140625" style="1"/>
    <col min="2305" max="2305" width="4.7109375" style="1" customWidth="1"/>
    <col min="2306" max="2314" width="9.140625" style="1"/>
    <col min="2315" max="2315" width="5.28515625" style="1" customWidth="1"/>
    <col min="2316" max="2316" width="30.140625" style="1" customWidth="1"/>
    <col min="2317" max="2317" width="8.85546875" style="1" customWidth="1"/>
    <col min="2318" max="2560" width="9.140625" style="1"/>
    <col min="2561" max="2561" width="4.7109375" style="1" customWidth="1"/>
    <col min="2562" max="2570" width="9.140625" style="1"/>
    <col min="2571" max="2571" width="5.28515625" style="1" customWidth="1"/>
    <col min="2572" max="2572" width="30.140625" style="1" customWidth="1"/>
    <col min="2573" max="2573" width="8.85546875" style="1" customWidth="1"/>
    <col min="2574" max="2816" width="9.140625" style="1"/>
    <col min="2817" max="2817" width="4.7109375" style="1" customWidth="1"/>
    <col min="2818" max="2826" width="9.140625" style="1"/>
    <col min="2827" max="2827" width="5.28515625" style="1" customWidth="1"/>
    <col min="2828" max="2828" width="30.140625" style="1" customWidth="1"/>
    <col min="2829" max="2829" width="8.85546875" style="1" customWidth="1"/>
    <col min="2830" max="3072" width="9.140625" style="1"/>
    <col min="3073" max="3073" width="4.7109375" style="1" customWidth="1"/>
    <col min="3074" max="3082" width="9.140625" style="1"/>
    <col min="3083" max="3083" width="5.28515625" style="1" customWidth="1"/>
    <col min="3084" max="3084" width="30.140625" style="1" customWidth="1"/>
    <col min="3085" max="3085" width="8.85546875" style="1" customWidth="1"/>
    <col min="3086" max="3328" width="9.140625" style="1"/>
    <col min="3329" max="3329" width="4.7109375" style="1" customWidth="1"/>
    <col min="3330" max="3338" width="9.140625" style="1"/>
    <col min="3339" max="3339" width="5.28515625" style="1" customWidth="1"/>
    <col min="3340" max="3340" width="30.140625" style="1" customWidth="1"/>
    <col min="3341" max="3341" width="8.85546875" style="1" customWidth="1"/>
    <col min="3342" max="3584" width="9.140625" style="1"/>
    <col min="3585" max="3585" width="4.7109375" style="1" customWidth="1"/>
    <col min="3586" max="3594" width="9.140625" style="1"/>
    <col min="3595" max="3595" width="5.28515625" style="1" customWidth="1"/>
    <col min="3596" max="3596" width="30.140625" style="1" customWidth="1"/>
    <col min="3597" max="3597" width="8.85546875" style="1" customWidth="1"/>
    <col min="3598" max="3840" width="9.140625" style="1"/>
    <col min="3841" max="3841" width="4.7109375" style="1" customWidth="1"/>
    <col min="3842" max="3850" width="9.140625" style="1"/>
    <col min="3851" max="3851" width="5.28515625" style="1" customWidth="1"/>
    <col min="3852" max="3852" width="30.140625" style="1" customWidth="1"/>
    <col min="3853" max="3853" width="8.85546875" style="1" customWidth="1"/>
    <col min="3854" max="4096" width="9.140625" style="1"/>
    <col min="4097" max="4097" width="4.7109375" style="1" customWidth="1"/>
    <col min="4098" max="4106" width="9.140625" style="1"/>
    <col min="4107" max="4107" width="5.28515625" style="1" customWidth="1"/>
    <col min="4108" max="4108" width="30.140625" style="1" customWidth="1"/>
    <col min="4109" max="4109" width="8.85546875" style="1" customWidth="1"/>
    <col min="4110" max="4352" width="9.140625" style="1"/>
    <col min="4353" max="4353" width="4.7109375" style="1" customWidth="1"/>
    <col min="4354" max="4362" width="9.140625" style="1"/>
    <col min="4363" max="4363" width="5.28515625" style="1" customWidth="1"/>
    <col min="4364" max="4364" width="30.140625" style="1" customWidth="1"/>
    <col min="4365" max="4365" width="8.85546875" style="1" customWidth="1"/>
    <col min="4366" max="4608" width="9.140625" style="1"/>
    <col min="4609" max="4609" width="4.7109375" style="1" customWidth="1"/>
    <col min="4610" max="4618" width="9.140625" style="1"/>
    <col min="4619" max="4619" width="5.28515625" style="1" customWidth="1"/>
    <col min="4620" max="4620" width="30.140625" style="1" customWidth="1"/>
    <col min="4621" max="4621" width="8.85546875" style="1" customWidth="1"/>
    <col min="4622" max="4864" width="9.140625" style="1"/>
    <col min="4865" max="4865" width="4.7109375" style="1" customWidth="1"/>
    <col min="4866" max="4874" width="9.140625" style="1"/>
    <col min="4875" max="4875" width="5.28515625" style="1" customWidth="1"/>
    <col min="4876" max="4876" width="30.140625" style="1" customWidth="1"/>
    <col min="4877" max="4877" width="8.85546875" style="1" customWidth="1"/>
    <col min="4878" max="5120" width="9.140625" style="1"/>
    <col min="5121" max="5121" width="4.7109375" style="1" customWidth="1"/>
    <col min="5122" max="5130" width="9.140625" style="1"/>
    <col min="5131" max="5131" width="5.28515625" style="1" customWidth="1"/>
    <col min="5132" max="5132" width="30.140625" style="1" customWidth="1"/>
    <col min="5133" max="5133" width="8.85546875" style="1" customWidth="1"/>
    <col min="5134" max="5376" width="9.140625" style="1"/>
    <col min="5377" max="5377" width="4.7109375" style="1" customWidth="1"/>
    <col min="5378" max="5386" width="9.140625" style="1"/>
    <col min="5387" max="5387" width="5.28515625" style="1" customWidth="1"/>
    <col min="5388" max="5388" width="30.140625" style="1" customWidth="1"/>
    <col min="5389" max="5389" width="8.85546875" style="1" customWidth="1"/>
    <col min="5390" max="5632" width="9.140625" style="1"/>
    <col min="5633" max="5633" width="4.7109375" style="1" customWidth="1"/>
    <col min="5634" max="5642" width="9.140625" style="1"/>
    <col min="5643" max="5643" width="5.28515625" style="1" customWidth="1"/>
    <col min="5644" max="5644" width="30.140625" style="1" customWidth="1"/>
    <col min="5645" max="5645" width="8.85546875" style="1" customWidth="1"/>
    <col min="5646" max="5888" width="9.140625" style="1"/>
    <col min="5889" max="5889" width="4.7109375" style="1" customWidth="1"/>
    <col min="5890" max="5898" width="9.140625" style="1"/>
    <col min="5899" max="5899" width="5.28515625" style="1" customWidth="1"/>
    <col min="5900" max="5900" width="30.140625" style="1" customWidth="1"/>
    <col min="5901" max="5901" width="8.85546875" style="1" customWidth="1"/>
    <col min="5902" max="6144" width="9.140625" style="1"/>
    <col min="6145" max="6145" width="4.7109375" style="1" customWidth="1"/>
    <col min="6146" max="6154" width="9.140625" style="1"/>
    <col min="6155" max="6155" width="5.28515625" style="1" customWidth="1"/>
    <col min="6156" max="6156" width="30.140625" style="1" customWidth="1"/>
    <col min="6157" max="6157" width="8.85546875" style="1" customWidth="1"/>
    <col min="6158" max="6400" width="9.140625" style="1"/>
    <col min="6401" max="6401" width="4.7109375" style="1" customWidth="1"/>
    <col min="6402" max="6410" width="9.140625" style="1"/>
    <col min="6411" max="6411" width="5.28515625" style="1" customWidth="1"/>
    <col min="6412" max="6412" width="30.140625" style="1" customWidth="1"/>
    <col min="6413" max="6413" width="8.85546875" style="1" customWidth="1"/>
    <col min="6414" max="6656" width="9.140625" style="1"/>
    <col min="6657" max="6657" width="4.7109375" style="1" customWidth="1"/>
    <col min="6658" max="6666" width="9.140625" style="1"/>
    <col min="6667" max="6667" width="5.28515625" style="1" customWidth="1"/>
    <col min="6668" max="6668" width="30.140625" style="1" customWidth="1"/>
    <col min="6669" max="6669" width="8.85546875" style="1" customWidth="1"/>
    <col min="6670" max="6912" width="9.140625" style="1"/>
    <col min="6913" max="6913" width="4.7109375" style="1" customWidth="1"/>
    <col min="6914" max="6922" width="9.140625" style="1"/>
    <col min="6923" max="6923" width="5.28515625" style="1" customWidth="1"/>
    <col min="6924" max="6924" width="30.140625" style="1" customWidth="1"/>
    <col min="6925" max="6925" width="8.85546875" style="1" customWidth="1"/>
    <col min="6926" max="7168" width="9.140625" style="1"/>
    <col min="7169" max="7169" width="4.7109375" style="1" customWidth="1"/>
    <col min="7170" max="7178" width="9.140625" style="1"/>
    <col min="7179" max="7179" width="5.28515625" style="1" customWidth="1"/>
    <col min="7180" max="7180" width="30.140625" style="1" customWidth="1"/>
    <col min="7181" max="7181" width="8.85546875" style="1" customWidth="1"/>
    <col min="7182" max="7424" width="9.140625" style="1"/>
    <col min="7425" max="7425" width="4.7109375" style="1" customWidth="1"/>
    <col min="7426" max="7434" width="9.140625" style="1"/>
    <col min="7435" max="7435" width="5.28515625" style="1" customWidth="1"/>
    <col min="7436" max="7436" width="30.140625" style="1" customWidth="1"/>
    <col min="7437" max="7437" width="8.85546875" style="1" customWidth="1"/>
    <col min="7438" max="7680" width="9.140625" style="1"/>
    <col min="7681" max="7681" width="4.7109375" style="1" customWidth="1"/>
    <col min="7682" max="7690" width="9.140625" style="1"/>
    <col min="7691" max="7691" width="5.28515625" style="1" customWidth="1"/>
    <col min="7692" max="7692" width="30.140625" style="1" customWidth="1"/>
    <col min="7693" max="7693" width="8.85546875" style="1" customWidth="1"/>
    <col min="7694" max="7936" width="9.140625" style="1"/>
    <col min="7937" max="7937" width="4.7109375" style="1" customWidth="1"/>
    <col min="7938" max="7946" width="9.140625" style="1"/>
    <col min="7947" max="7947" width="5.28515625" style="1" customWidth="1"/>
    <col min="7948" max="7948" width="30.140625" style="1" customWidth="1"/>
    <col min="7949" max="7949" width="8.85546875" style="1" customWidth="1"/>
    <col min="7950" max="8192" width="9.140625" style="1"/>
    <col min="8193" max="8193" width="4.7109375" style="1" customWidth="1"/>
    <col min="8194" max="8202" width="9.140625" style="1"/>
    <col min="8203" max="8203" width="5.28515625" style="1" customWidth="1"/>
    <col min="8204" max="8204" width="30.140625" style="1" customWidth="1"/>
    <col min="8205" max="8205" width="8.85546875" style="1" customWidth="1"/>
    <col min="8206" max="8448" width="9.140625" style="1"/>
    <col min="8449" max="8449" width="4.7109375" style="1" customWidth="1"/>
    <col min="8450" max="8458" width="9.140625" style="1"/>
    <col min="8459" max="8459" width="5.28515625" style="1" customWidth="1"/>
    <col min="8460" max="8460" width="30.140625" style="1" customWidth="1"/>
    <col min="8461" max="8461" width="8.85546875" style="1" customWidth="1"/>
    <col min="8462" max="8704" width="9.140625" style="1"/>
    <col min="8705" max="8705" width="4.7109375" style="1" customWidth="1"/>
    <col min="8706" max="8714" width="9.140625" style="1"/>
    <col min="8715" max="8715" width="5.28515625" style="1" customWidth="1"/>
    <col min="8716" max="8716" width="30.140625" style="1" customWidth="1"/>
    <col min="8717" max="8717" width="8.85546875" style="1" customWidth="1"/>
    <col min="8718" max="8960" width="9.140625" style="1"/>
    <col min="8961" max="8961" width="4.7109375" style="1" customWidth="1"/>
    <col min="8962" max="8970" width="9.140625" style="1"/>
    <col min="8971" max="8971" width="5.28515625" style="1" customWidth="1"/>
    <col min="8972" max="8972" width="30.140625" style="1" customWidth="1"/>
    <col min="8973" max="8973" width="8.85546875" style="1" customWidth="1"/>
    <col min="8974" max="9216" width="9.140625" style="1"/>
    <col min="9217" max="9217" width="4.7109375" style="1" customWidth="1"/>
    <col min="9218" max="9226" width="9.140625" style="1"/>
    <col min="9227" max="9227" width="5.28515625" style="1" customWidth="1"/>
    <col min="9228" max="9228" width="30.140625" style="1" customWidth="1"/>
    <col min="9229" max="9229" width="8.85546875" style="1" customWidth="1"/>
    <col min="9230" max="9472" width="9.140625" style="1"/>
    <col min="9473" max="9473" width="4.7109375" style="1" customWidth="1"/>
    <col min="9474" max="9482" width="9.140625" style="1"/>
    <col min="9483" max="9483" width="5.28515625" style="1" customWidth="1"/>
    <col min="9484" max="9484" width="30.140625" style="1" customWidth="1"/>
    <col min="9485" max="9485" width="8.85546875" style="1" customWidth="1"/>
    <col min="9486" max="9728" width="9.140625" style="1"/>
    <col min="9729" max="9729" width="4.7109375" style="1" customWidth="1"/>
    <col min="9730" max="9738" width="9.140625" style="1"/>
    <col min="9739" max="9739" width="5.28515625" style="1" customWidth="1"/>
    <col min="9740" max="9740" width="30.140625" style="1" customWidth="1"/>
    <col min="9741" max="9741" width="8.85546875" style="1" customWidth="1"/>
    <col min="9742" max="9984" width="9.140625" style="1"/>
    <col min="9985" max="9985" width="4.7109375" style="1" customWidth="1"/>
    <col min="9986" max="9994" width="9.140625" style="1"/>
    <col min="9995" max="9995" width="5.28515625" style="1" customWidth="1"/>
    <col min="9996" max="9996" width="30.140625" style="1" customWidth="1"/>
    <col min="9997" max="9997" width="8.85546875" style="1" customWidth="1"/>
    <col min="9998" max="10240" width="9.140625" style="1"/>
    <col min="10241" max="10241" width="4.7109375" style="1" customWidth="1"/>
    <col min="10242" max="10250" width="9.140625" style="1"/>
    <col min="10251" max="10251" width="5.28515625" style="1" customWidth="1"/>
    <col min="10252" max="10252" width="30.140625" style="1" customWidth="1"/>
    <col min="10253" max="10253" width="8.85546875" style="1" customWidth="1"/>
    <col min="10254" max="10496" width="9.140625" style="1"/>
    <col min="10497" max="10497" width="4.7109375" style="1" customWidth="1"/>
    <col min="10498" max="10506" width="9.140625" style="1"/>
    <col min="10507" max="10507" width="5.28515625" style="1" customWidth="1"/>
    <col min="10508" max="10508" width="30.140625" style="1" customWidth="1"/>
    <col min="10509" max="10509" width="8.85546875" style="1" customWidth="1"/>
    <col min="10510" max="10752" width="9.140625" style="1"/>
    <col min="10753" max="10753" width="4.7109375" style="1" customWidth="1"/>
    <col min="10754" max="10762" width="9.140625" style="1"/>
    <col min="10763" max="10763" width="5.28515625" style="1" customWidth="1"/>
    <col min="10764" max="10764" width="30.140625" style="1" customWidth="1"/>
    <col min="10765" max="10765" width="8.85546875" style="1" customWidth="1"/>
    <col min="10766" max="11008" width="9.140625" style="1"/>
    <col min="11009" max="11009" width="4.7109375" style="1" customWidth="1"/>
    <col min="11010" max="11018" width="9.140625" style="1"/>
    <col min="11019" max="11019" width="5.28515625" style="1" customWidth="1"/>
    <col min="11020" max="11020" width="30.140625" style="1" customWidth="1"/>
    <col min="11021" max="11021" width="8.85546875" style="1" customWidth="1"/>
    <col min="11022" max="11264" width="9.140625" style="1"/>
    <col min="11265" max="11265" width="4.7109375" style="1" customWidth="1"/>
    <col min="11266" max="11274" width="9.140625" style="1"/>
    <col min="11275" max="11275" width="5.28515625" style="1" customWidth="1"/>
    <col min="11276" max="11276" width="30.140625" style="1" customWidth="1"/>
    <col min="11277" max="11277" width="8.85546875" style="1" customWidth="1"/>
    <col min="11278" max="11520" width="9.140625" style="1"/>
    <col min="11521" max="11521" width="4.7109375" style="1" customWidth="1"/>
    <col min="11522" max="11530" width="9.140625" style="1"/>
    <col min="11531" max="11531" width="5.28515625" style="1" customWidth="1"/>
    <col min="11532" max="11532" width="30.140625" style="1" customWidth="1"/>
    <col min="11533" max="11533" width="8.85546875" style="1" customWidth="1"/>
    <col min="11534" max="11776" width="9.140625" style="1"/>
    <col min="11777" max="11777" width="4.7109375" style="1" customWidth="1"/>
    <col min="11778" max="11786" width="9.140625" style="1"/>
    <col min="11787" max="11787" width="5.28515625" style="1" customWidth="1"/>
    <col min="11788" max="11788" width="30.140625" style="1" customWidth="1"/>
    <col min="11789" max="11789" width="8.85546875" style="1" customWidth="1"/>
    <col min="11790" max="12032" width="9.140625" style="1"/>
    <col min="12033" max="12033" width="4.7109375" style="1" customWidth="1"/>
    <col min="12034" max="12042" width="9.140625" style="1"/>
    <col min="12043" max="12043" width="5.28515625" style="1" customWidth="1"/>
    <col min="12044" max="12044" width="30.140625" style="1" customWidth="1"/>
    <col min="12045" max="12045" width="8.85546875" style="1" customWidth="1"/>
    <col min="12046" max="12288" width="9.140625" style="1"/>
    <col min="12289" max="12289" width="4.7109375" style="1" customWidth="1"/>
    <col min="12290" max="12298" width="9.140625" style="1"/>
    <col min="12299" max="12299" width="5.28515625" style="1" customWidth="1"/>
    <col min="12300" max="12300" width="30.140625" style="1" customWidth="1"/>
    <col min="12301" max="12301" width="8.85546875" style="1" customWidth="1"/>
    <col min="12302" max="12544" width="9.140625" style="1"/>
    <col min="12545" max="12545" width="4.7109375" style="1" customWidth="1"/>
    <col min="12546" max="12554" width="9.140625" style="1"/>
    <col min="12555" max="12555" width="5.28515625" style="1" customWidth="1"/>
    <col min="12556" max="12556" width="30.140625" style="1" customWidth="1"/>
    <col min="12557" max="12557" width="8.85546875" style="1" customWidth="1"/>
    <col min="12558" max="12800" width="9.140625" style="1"/>
    <col min="12801" max="12801" width="4.7109375" style="1" customWidth="1"/>
    <col min="12802" max="12810" width="9.140625" style="1"/>
    <col min="12811" max="12811" width="5.28515625" style="1" customWidth="1"/>
    <col min="12812" max="12812" width="30.140625" style="1" customWidth="1"/>
    <col min="12813" max="12813" width="8.85546875" style="1" customWidth="1"/>
    <col min="12814" max="13056" width="9.140625" style="1"/>
    <col min="13057" max="13057" width="4.7109375" style="1" customWidth="1"/>
    <col min="13058" max="13066" width="9.140625" style="1"/>
    <col min="13067" max="13067" width="5.28515625" style="1" customWidth="1"/>
    <col min="13068" max="13068" width="30.140625" style="1" customWidth="1"/>
    <col min="13069" max="13069" width="8.85546875" style="1" customWidth="1"/>
    <col min="13070" max="13312" width="9.140625" style="1"/>
    <col min="13313" max="13313" width="4.7109375" style="1" customWidth="1"/>
    <col min="13314" max="13322" width="9.140625" style="1"/>
    <col min="13323" max="13323" width="5.28515625" style="1" customWidth="1"/>
    <col min="13324" max="13324" width="30.140625" style="1" customWidth="1"/>
    <col min="13325" max="13325" width="8.85546875" style="1" customWidth="1"/>
    <col min="13326" max="13568" width="9.140625" style="1"/>
    <col min="13569" max="13569" width="4.7109375" style="1" customWidth="1"/>
    <col min="13570" max="13578" width="9.140625" style="1"/>
    <col min="13579" max="13579" width="5.28515625" style="1" customWidth="1"/>
    <col min="13580" max="13580" width="30.140625" style="1" customWidth="1"/>
    <col min="13581" max="13581" width="8.85546875" style="1" customWidth="1"/>
    <col min="13582" max="13824" width="9.140625" style="1"/>
    <col min="13825" max="13825" width="4.7109375" style="1" customWidth="1"/>
    <col min="13826" max="13834" width="9.140625" style="1"/>
    <col min="13835" max="13835" width="5.28515625" style="1" customWidth="1"/>
    <col min="13836" max="13836" width="30.140625" style="1" customWidth="1"/>
    <col min="13837" max="13837" width="8.85546875" style="1" customWidth="1"/>
    <col min="13838" max="14080" width="9.140625" style="1"/>
    <col min="14081" max="14081" width="4.7109375" style="1" customWidth="1"/>
    <col min="14082" max="14090" width="9.140625" style="1"/>
    <col min="14091" max="14091" width="5.28515625" style="1" customWidth="1"/>
    <col min="14092" max="14092" width="30.140625" style="1" customWidth="1"/>
    <col min="14093" max="14093" width="8.85546875" style="1" customWidth="1"/>
    <col min="14094" max="14336" width="9.140625" style="1"/>
    <col min="14337" max="14337" width="4.7109375" style="1" customWidth="1"/>
    <col min="14338" max="14346" width="9.140625" style="1"/>
    <col min="14347" max="14347" width="5.28515625" style="1" customWidth="1"/>
    <col min="14348" max="14348" width="30.140625" style="1" customWidth="1"/>
    <col min="14349" max="14349" width="8.85546875" style="1" customWidth="1"/>
    <col min="14350" max="14592" width="9.140625" style="1"/>
    <col min="14593" max="14593" width="4.7109375" style="1" customWidth="1"/>
    <col min="14594" max="14602" width="9.140625" style="1"/>
    <col min="14603" max="14603" width="5.28515625" style="1" customWidth="1"/>
    <col min="14604" max="14604" width="30.140625" style="1" customWidth="1"/>
    <col min="14605" max="14605" width="8.85546875" style="1" customWidth="1"/>
    <col min="14606" max="14848" width="9.140625" style="1"/>
    <col min="14849" max="14849" width="4.7109375" style="1" customWidth="1"/>
    <col min="14850" max="14858" width="9.140625" style="1"/>
    <col min="14859" max="14859" width="5.28515625" style="1" customWidth="1"/>
    <col min="14860" max="14860" width="30.140625" style="1" customWidth="1"/>
    <col min="14861" max="14861" width="8.85546875" style="1" customWidth="1"/>
    <col min="14862" max="15104" width="9.140625" style="1"/>
    <col min="15105" max="15105" width="4.7109375" style="1" customWidth="1"/>
    <col min="15106" max="15114" width="9.140625" style="1"/>
    <col min="15115" max="15115" width="5.28515625" style="1" customWidth="1"/>
    <col min="15116" max="15116" width="30.140625" style="1" customWidth="1"/>
    <col min="15117" max="15117" width="8.85546875" style="1" customWidth="1"/>
    <col min="15118" max="15360" width="9.140625" style="1"/>
    <col min="15361" max="15361" width="4.7109375" style="1" customWidth="1"/>
    <col min="15362" max="15370" width="9.140625" style="1"/>
    <col min="15371" max="15371" width="5.28515625" style="1" customWidth="1"/>
    <col min="15372" max="15372" width="30.140625" style="1" customWidth="1"/>
    <col min="15373" max="15373" width="8.85546875" style="1" customWidth="1"/>
    <col min="15374" max="15616" width="9.140625" style="1"/>
    <col min="15617" max="15617" width="4.7109375" style="1" customWidth="1"/>
    <col min="15618" max="15626" width="9.140625" style="1"/>
    <col min="15627" max="15627" width="5.28515625" style="1" customWidth="1"/>
    <col min="15628" max="15628" width="30.140625" style="1" customWidth="1"/>
    <col min="15629" max="15629" width="8.85546875" style="1" customWidth="1"/>
    <col min="15630" max="15872" width="9.140625" style="1"/>
    <col min="15873" max="15873" width="4.7109375" style="1" customWidth="1"/>
    <col min="15874" max="15882" width="9.140625" style="1"/>
    <col min="15883" max="15883" width="5.28515625" style="1" customWidth="1"/>
    <col min="15884" max="15884" width="30.140625" style="1" customWidth="1"/>
    <col min="15885" max="15885" width="8.85546875" style="1" customWidth="1"/>
    <col min="15886" max="16128" width="9.140625" style="1"/>
    <col min="16129" max="16129" width="4.7109375" style="1" customWidth="1"/>
    <col min="16130" max="16138" width="9.140625" style="1"/>
    <col min="16139" max="16139" width="5.28515625" style="1" customWidth="1"/>
    <col min="16140" max="16140" width="30.140625" style="1" customWidth="1"/>
    <col min="16141" max="16141" width="8.85546875" style="1" customWidth="1"/>
    <col min="16142" max="16384" width="9.140625" style="1"/>
  </cols>
  <sheetData>
    <row r="1" spans="1:13" ht="18.75" thickBot="1">
      <c r="A1" s="3" t="str">
        <f ca="1">MID(CELL("filename",A1),FIND("]",CELL("filename",A1))+1,256)</f>
        <v>Hlookup</v>
      </c>
      <c r="B1" s="4"/>
      <c r="C1" s="4"/>
      <c r="D1" s="4"/>
      <c r="E1" s="4"/>
      <c r="F1" s="4"/>
      <c r="G1" s="4"/>
      <c r="H1" s="4"/>
      <c r="I1" s="4"/>
      <c r="J1" s="4"/>
      <c r="K1" s="25"/>
    </row>
    <row r="2" spans="1:13" ht="13.5" thickTop="1"/>
    <row r="10" spans="1:13">
      <c r="A10" s="2"/>
    </row>
    <row r="11" spans="1:13" ht="25.5">
      <c r="K11" s="71" t="s">
        <v>47</v>
      </c>
      <c r="L11" s="71" t="s">
        <v>48</v>
      </c>
      <c r="M11" s="71" t="s">
        <v>49</v>
      </c>
    </row>
    <row r="12" spans="1:13" ht="25.5">
      <c r="K12" s="33" t="s">
        <v>51</v>
      </c>
      <c r="L12" s="34" t="s">
        <v>139</v>
      </c>
      <c r="M12" s="33" t="s">
        <v>53</v>
      </c>
    </row>
    <row r="13" spans="1:13" ht="25.5">
      <c r="K13" s="33" t="s">
        <v>55</v>
      </c>
      <c r="L13" s="34" t="s">
        <v>140</v>
      </c>
      <c r="M13" s="33" t="s">
        <v>57</v>
      </c>
    </row>
    <row r="14" spans="1:13">
      <c r="K14" s="33" t="s">
        <v>58</v>
      </c>
      <c r="L14" s="34" t="s">
        <v>141</v>
      </c>
      <c r="M14" s="33">
        <v>18</v>
      </c>
    </row>
    <row r="15" spans="1:13" ht="25.5">
      <c r="K15" s="33" t="s">
        <v>55</v>
      </c>
      <c r="L15" s="34" t="s">
        <v>142</v>
      </c>
      <c r="M15" s="33" t="e">
        <v>#N/A</v>
      </c>
    </row>
  </sheetData>
  <pageMargins left="0.75" right="0.75" top="1" bottom="1" header="0.5" footer="0.5"/>
  <headerFooter alignWithMargins="0"/>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J235"/>
  <sheetViews>
    <sheetView workbookViewId="0">
      <selection activeCell="C12" sqref="C12"/>
    </sheetView>
  </sheetViews>
  <sheetFormatPr defaultRowHeight="12.75"/>
  <cols>
    <col min="1" max="1" width="3.5703125" style="1" customWidth="1"/>
    <col min="2" max="256" width="9.140625" style="1"/>
    <col min="257" max="257" width="3.5703125" style="1" customWidth="1"/>
    <col min="258" max="512" width="9.140625" style="1"/>
    <col min="513" max="513" width="3.5703125" style="1" customWidth="1"/>
    <col min="514" max="768" width="9.140625" style="1"/>
    <col min="769" max="769" width="3.5703125" style="1" customWidth="1"/>
    <col min="770" max="1024" width="9.140625" style="1"/>
    <col min="1025" max="1025" width="3.5703125" style="1" customWidth="1"/>
    <col min="1026" max="1280" width="9.140625" style="1"/>
    <col min="1281" max="1281" width="3.5703125" style="1" customWidth="1"/>
    <col min="1282" max="1536" width="9.140625" style="1"/>
    <col min="1537" max="1537" width="3.5703125" style="1" customWidth="1"/>
    <col min="1538" max="1792" width="9.140625" style="1"/>
    <col min="1793" max="1793" width="3.5703125" style="1" customWidth="1"/>
    <col min="1794" max="2048" width="9.140625" style="1"/>
    <col min="2049" max="2049" width="3.5703125" style="1" customWidth="1"/>
    <col min="2050" max="2304" width="9.140625" style="1"/>
    <col min="2305" max="2305" width="3.5703125" style="1" customWidth="1"/>
    <col min="2306" max="2560" width="9.140625" style="1"/>
    <col min="2561" max="2561" width="3.5703125" style="1" customWidth="1"/>
    <col min="2562" max="2816" width="9.140625" style="1"/>
    <col min="2817" max="2817" width="3.5703125" style="1" customWidth="1"/>
    <col min="2818" max="3072" width="9.140625" style="1"/>
    <col min="3073" max="3073" width="3.5703125" style="1" customWidth="1"/>
    <col min="3074" max="3328" width="9.140625" style="1"/>
    <col min="3329" max="3329" width="3.5703125" style="1" customWidth="1"/>
    <col min="3330" max="3584" width="9.140625" style="1"/>
    <col min="3585" max="3585" width="3.5703125" style="1" customWidth="1"/>
    <col min="3586" max="3840" width="9.140625" style="1"/>
    <col min="3841" max="3841" width="3.5703125" style="1" customWidth="1"/>
    <col min="3842" max="4096" width="9.140625" style="1"/>
    <col min="4097" max="4097" width="3.5703125" style="1" customWidth="1"/>
    <col min="4098" max="4352" width="9.140625" style="1"/>
    <col min="4353" max="4353" width="3.5703125" style="1" customWidth="1"/>
    <col min="4354" max="4608" width="9.140625" style="1"/>
    <col min="4609" max="4609" width="3.5703125" style="1" customWidth="1"/>
    <col min="4610" max="4864" width="9.140625" style="1"/>
    <col min="4865" max="4865" width="3.5703125" style="1" customWidth="1"/>
    <col min="4866" max="5120" width="9.140625" style="1"/>
    <col min="5121" max="5121" width="3.5703125" style="1" customWidth="1"/>
    <col min="5122" max="5376" width="9.140625" style="1"/>
    <col min="5377" max="5377" width="3.5703125" style="1" customWidth="1"/>
    <col min="5378" max="5632" width="9.140625" style="1"/>
    <col min="5633" max="5633" width="3.5703125" style="1" customWidth="1"/>
    <col min="5634" max="5888" width="9.140625" style="1"/>
    <col min="5889" max="5889" width="3.5703125" style="1" customWidth="1"/>
    <col min="5890" max="6144" width="9.140625" style="1"/>
    <col min="6145" max="6145" width="3.5703125" style="1" customWidth="1"/>
    <col min="6146" max="6400" width="9.140625" style="1"/>
    <col min="6401" max="6401" width="3.5703125" style="1" customWidth="1"/>
    <col min="6402" max="6656" width="9.140625" style="1"/>
    <col min="6657" max="6657" width="3.5703125" style="1" customWidth="1"/>
    <col min="6658" max="6912" width="9.140625" style="1"/>
    <col min="6913" max="6913" width="3.5703125" style="1" customWidth="1"/>
    <col min="6914" max="7168" width="9.140625" style="1"/>
    <col min="7169" max="7169" width="3.5703125" style="1" customWidth="1"/>
    <col min="7170" max="7424" width="9.140625" style="1"/>
    <col min="7425" max="7425" width="3.5703125" style="1" customWidth="1"/>
    <col min="7426" max="7680" width="9.140625" style="1"/>
    <col min="7681" max="7681" width="3.5703125" style="1" customWidth="1"/>
    <col min="7682" max="7936" width="9.140625" style="1"/>
    <col min="7937" max="7937" width="3.5703125" style="1" customWidth="1"/>
    <col min="7938" max="8192" width="9.140625" style="1"/>
    <col min="8193" max="8193" width="3.5703125" style="1" customWidth="1"/>
    <col min="8194" max="8448" width="9.140625" style="1"/>
    <col min="8449" max="8449" width="3.5703125" style="1" customWidth="1"/>
    <col min="8450" max="8704" width="9.140625" style="1"/>
    <col min="8705" max="8705" width="3.5703125" style="1" customWidth="1"/>
    <col min="8706" max="8960" width="9.140625" style="1"/>
    <col min="8961" max="8961" width="3.5703125" style="1" customWidth="1"/>
    <col min="8962" max="9216" width="9.140625" style="1"/>
    <col min="9217" max="9217" width="3.5703125" style="1" customWidth="1"/>
    <col min="9218" max="9472" width="9.140625" style="1"/>
    <col min="9473" max="9473" width="3.5703125" style="1" customWidth="1"/>
    <col min="9474" max="9728" width="9.140625" style="1"/>
    <col min="9729" max="9729" width="3.5703125" style="1" customWidth="1"/>
    <col min="9730" max="9984" width="9.140625" style="1"/>
    <col min="9985" max="9985" width="3.5703125" style="1" customWidth="1"/>
    <col min="9986" max="10240" width="9.140625" style="1"/>
    <col min="10241" max="10241" width="3.5703125" style="1" customWidth="1"/>
    <col min="10242" max="10496" width="9.140625" style="1"/>
    <col min="10497" max="10497" width="3.5703125" style="1" customWidth="1"/>
    <col min="10498" max="10752" width="9.140625" style="1"/>
    <col min="10753" max="10753" width="3.5703125" style="1" customWidth="1"/>
    <col min="10754" max="11008" width="9.140625" style="1"/>
    <col min="11009" max="11009" width="3.5703125" style="1" customWidth="1"/>
    <col min="11010" max="11264" width="9.140625" style="1"/>
    <col min="11265" max="11265" width="3.5703125" style="1" customWidth="1"/>
    <col min="11266" max="11520" width="9.140625" style="1"/>
    <col min="11521" max="11521" width="3.5703125" style="1" customWidth="1"/>
    <col min="11522" max="11776" width="9.140625" style="1"/>
    <col min="11777" max="11777" width="3.5703125" style="1" customWidth="1"/>
    <col min="11778" max="12032" width="9.140625" style="1"/>
    <col min="12033" max="12033" width="3.5703125" style="1" customWidth="1"/>
    <col min="12034" max="12288" width="9.140625" style="1"/>
    <col min="12289" max="12289" width="3.5703125" style="1" customWidth="1"/>
    <col min="12290" max="12544" width="9.140625" style="1"/>
    <col min="12545" max="12545" width="3.5703125" style="1" customWidth="1"/>
    <col min="12546" max="12800" width="9.140625" style="1"/>
    <col min="12801" max="12801" width="3.5703125" style="1" customWidth="1"/>
    <col min="12802" max="13056" width="9.140625" style="1"/>
    <col min="13057" max="13057" width="3.5703125" style="1" customWidth="1"/>
    <col min="13058" max="13312" width="9.140625" style="1"/>
    <col min="13313" max="13313" width="3.5703125" style="1" customWidth="1"/>
    <col min="13314" max="13568" width="9.140625" style="1"/>
    <col min="13569" max="13569" width="3.5703125" style="1" customWidth="1"/>
    <col min="13570" max="13824" width="9.140625" style="1"/>
    <col min="13825" max="13825" width="3.5703125" style="1" customWidth="1"/>
    <col min="13826" max="14080" width="9.140625" style="1"/>
    <col min="14081" max="14081" width="3.5703125" style="1" customWidth="1"/>
    <col min="14082" max="14336" width="9.140625" style="1"/>
    <col min="14337" max="14337" width="3.5703125" style="1" customWidth="1"/>
    <col min="14338" max="14592" width="9.140625" style="1"/>
    <col min="14593" max="14593" width="3.5703125" style="1" customWidth="1"/>
    <col min="14594" max="14848" width="9.140625" style="1"/>
    <col min="14849" max="14849" width="3.5703125" style="1" customWidth="1"/>
    <col min="14850" max="15104" width="9.140625" style="1"/>
    <col min="15105" max="15105" width="3.5703125" style="1" customWidth="1"/>
    <col min="15106" max="15360" width="9.140625" style="1"/>
    <col min="15361" max="15361" width="3.5703125" style="1" customWidth="1"/>
    <col min="15362" max="15616" width="9.140625" style="1"/>
    <col min="15617" max="15617" width="3.5703125" style="1" customWidth="1"/>
    <col min="15618" max="15872" width="9.140625" style="1"/>
    <col min="15873" max="15873" width="3.5703125" style="1" customWidth="1"/>
    <col min="15874" max="16128" width="9.140625" style="1"/>
    <col min="16129" max="16129" width="3.5703125" style="1" customWidth="1"/>
    <col min="16130" max="16384" width="9.140625" style="1"/>
  </cols>
  <sheetData>
    <row r="1" spans="1:10" ht="18.75" thickBot="1">
      <c r="A1" s="3" t="str">
        <f ca="1">MID(CELL("filename",A1),FIND("]",CELL("filename",A1))+1,256)</f>
        <v>Transpose</v>
      </c>
      <c r="B1" s="4"/>
      <c r="C1" s="4"/>
      <c r="D1" s="4"/>
      <c r="E1" s="4"/>
      <c r="F1" s="4"/>
      <c r="G1" s="4"/>
      <c r="H1" s="4"/>
      <c r="I1" s="4"/>
      <c r="J1" s="4"/>
    </row>
    <row r="2" spans="1:10" ht="13.5" thickTop="1">
      <c r="B2" s="8" t="s">
        <v>7</v>
      </c>
    </row>
    <row r="4" spans="1:10">
      <c r="B4" s="9" t="s">
        <v>8</v>
      </c>
      <c r="C4" s="10" t="s">
        <v>9</v>
      </c>
      <c r="D4" s="10" t="s">
        <v>10</v>
      </c>
    </row>
    <row r="5" spans="1:10">
      <c r="B5" s="11" t="s">
        <v>11</v>
      </c>
      <c r="C5" s="12">
        <v>10</v>
      </c>
      <c r="D5" s="12">
        <v>30</v>
      </c>
    </row>
    <row r="6" spans="1:10">
      <c r="B6" s="11" t="s">
        <v>12</v>
      </c>
      <c r="C6" s="12">
        <v>40</v>
      </c>
      <c r="D6" s="12">
        <v>50</v>
      </c>
      <c r="E6" s="193"/>
      <c r="F6" s="193"/>
      <c r="G6" s="193"/>
      <c r="H6" s="193"/>
      <c r="I6" s="193"/>
    </row>
    <row r="7" spans="1:10">
      <c r="B7" s="11" t="s">
        <v>13</v>
      </c>
      <c r="C7" s="12">
        <v>70</v>
      </c>
      <c r="D7" s="12">
        <v>80</v>
      </c>
      <c r="E7" s="193"/>
      <c r="F7" s="193"/>
      <c r="G7" s="193"/>
      <c r="H7" s="193"/>
      <c r="I7" s="193"/>
    </row>
    <row r="8" spans="1:10" s="13" customFormat="1">
      <c r="B8" s="14"/>
      <c r="C8" s="15"/>
      <c r="D8" s="15"/>
      <c r="E8" s="194"/>
      <c r="F8" s="194"/>
      <c r="G8" s="194"/>
      <c r="H8" s="194"/>
      <c r="I8" s="194"/>
    </row>
    <row r="9" spans="1:10">
      <c r="E9" s="193"/>
      <c r="F9" s="194"/>
      <c r="G9" s="193"/>
      <c r="H9" s="193"/>
      <c r="I9" s="193"/>
    </row>
    <row r="10" spans="1:10">
      <c r="B10" s="17" t="s">
        <v>14</v>
      </c>
      <c r="C10" s="16"/>
      <c r="D10" s="16"/>
      <c r="E10" s="194"/>
      <c r="F10" s="194"/>
      <c r="G10" s="193"/>
      <c r="H10" s="193"/>
      <c r="I10" s="193"/>
    </row>
    <row r="11" spans="1:10">
      <c r="B11" s="16"/>
      <c r="C11" s="16"/>
      <c r="D11" s="16"/>
      <c r="E11" s="16"/>
      <c r="F11" s="16"/>
    </row>
    <row r="12" spans="1:10">
      <c r="B12" s="18" t="str">
        <f t="array" ref="B12:E12">TRANSPOSE(B4:B7)</f>
        <v>Cust ID</v>
      </c>
      <c r="C12" s="19" t="str">
        <v>A001</v>
      </c>
      <c r="D12" s="19" t="str">
        <v>A002</v>
      </c>
      <c r="E12" s="19" t="str">
        <v>A003</v>
      </c>
      <c r="F12" s="20"/>
    </row>
    <row r="13" spans="1:10">
      <c r="B13" s="18" t="str">
        <f t="array" ref="B13:E13">TRANSPOSE(C4:C7)</f>
        <v>Jan</v>
      </c>
      <c r="C13" s="21">
        <v>10</v>
      </c>
      <c r="D13" s="21">
        <v>40</v>
      </c>
      <c r="E13" s="21">
        <v>70</v>
      </c>
      <c r="F13" s="20"/>
    </row>
    <row r="14" spans="1:10">
      <c r="B14" s="18" t="str">
        <f t="array" ref="B14:E14">TRANSPOSE(D4:D7)</f>
        <v>Feb</v>
      </c>
      <c r="C14" s="21">
        <v>30</v>
      </c>
      <c r="D14" s="21">
        <v>50</v>
      </c>
      <c r="E14" s="21">
        <v>80</v>
      </c>
      <c r="F14" s="20"/>
    </row>
    <row r="15" spans="1:10">
      <c r="B15" s="16"/>
      <c r="C15" s="16"/>
      <c r="D15" s="16"/>
      <c r="E15" s="16"/>
      <c r="F15" s="16"/>
    </row>
    <row r="16" spans="1:10">
      <c r="B16" s="16"/>
      <c r="C16" s="16"/>
      <c r="D16" s="22" t="s">
        <v>15</v>
      </c>
      <c r="E16" s="16"/>
      <c r="F16" s="16"/>
    </row>
    <row r="17" spans="1:7">
      <c r="B17" s="16"/>
      <c r="C17" s="16"/>
      <c r="D17" s="16"/>
      <c r="E17" s="16"/>
      <c r="F17" s="16"/>
      <c r="G17" s="16"/>
    </row>
    <row r="18" spans="1:7">
      <c r="B18" s="23" t="s">
        <v>6</v>
      </c>
      <c r="C18" s="16"/>
      <c r="D18" s="16"/>
      <c r="E18" s="16"/>
      <c r="F18" s="16"/>
      <c r="G18" s="16"/>
    </row>
    <row r="19" spans="1:7">
      <c r="B19" s="17" t="s">
        <v>16</v>
      </c>
      <c r="C19" s="16"/>
      <c r="D19" s="16"/>
      <c r="E19" s="16"/>
      <c r="F19" s="16"/>
      <c r="G19" s="16"/>
    </row>
    <row r="20" spans="1:7">
      <c r="B20" s="16" t="s">
        <v>17</v>
      </c>
      <c r="C20" s="16"/>
      <c r="D20" s="16"/>
      <c r="E20" s="16"/>
      <c r="F20" s="16"/>
      <c r="G20" s="16"/>
    </row>
    <row r="21" spans="1:7">
      <c r="B21" s="16" t="s">
        <v>18</v>
      </c>
      <c r="C21" s="16"/>
      <c r="D21" s="16"/>
      <c r="E21" s="16"/>
      <c r="F21" s="16"/>
      <c r="G21" s="16"/>
    </row>
    <row r="22" spans="1:7">
      <c r="B22" s="16" t="s">
        <v>19</v>
      </c>
      <c r="C22" s="16"/>
      <c r="D22" s="16"/>
      <c r="E22" s="16"/>
      <c r="F22" s="16"/>
      <c r="G22" s="16"/>
    </row>
    <row r="23" spans="1:7">
      <c r="B23" s="16" t="s">
        <v>20</v>
      </c>
      <c r="C23" s="16"/>
      <c r="D23" s="16"/>
      <c r="E23" s="16"/>
      <c r="F23" s="16"/>
      <c r="G23" s="16"/>
    </row>
    <row r="24" spans="1:7">
      <c r="B24" s="16" t="s">
        <v>21</v>
      </c>
      <c r="C24" s="16"/>
      <c r="D24" s="16"/>
      <c r="E24" s="16"/>
      <c r="F24" s="16"/>
      <c r="G24" s="16"/>
    </row>
    <row r="25" spans="1:7">
      <c r="B25" s="16" t="s">
        <v>22</v>
      </c>
      <c r="C25" s="16"/>
      <c r="D25" s="16"/>
      <c r="E25" s="16"/>
      <c r="F25" s="16"/>
      <c r="G25" s="16"/>
    </row>
    <row r="26" spans="1:7">
      <c r="B26" s="16" t="s">
        <v>23</v>
      </c>
      <c r="C26" s="16"/>
      <c r="D26" s="16"/>
      <c r="E26" s="16"/>
      <c r="F26" s="16"/>
      <c r="G26" s="16"/>
    </row>
    <row r="27" spans="1:7">
      <c r="C27" s="16"/>
      <c r="D27" s="16"/>
      <c r="E27" s="16"/>
      <c r="F27" s="16"/>
      <c r="G27" s="16"/>
    </row>
    <row r="28" spans="1:7">
      <c r="B28" s="23" t="s">
        <v>24</v>
      </c>
      <c r="C28" s="16"/>
      <c r="D28" s="16"/>
      <c r="E28" s="16"/>
      <c r="F28" s="16"/>
      <c r="G28" s="16"/>
    </row>
    <row r="29" spans="1:7">
      <c r="B29" s="24" t="s">
        <v>25</v>
      </c>
      <c r="C29" s="16"/>
      <c r="D29" s="16"/>
      <c r="E29" s="16"/>
      <c r="F29" s="16"/>
      <c r="G29" s="16"/>
    </row>
    <row r="30" spans="1:7">
      <c r="B30" s="16"/>
      <c r="C30" s="16"/>
      <c r="D30" s="16"/>
      <c r="E30" s="16"/>
      <c r="F30" s="16"/>
      <c r="G30" s="16"/>
    </row>
    <row r="31" spans="1:7">
      <c r="A31" s="16"/>
      <c r="B31" s="16"/>
      <c r="C31" s="16"/>
      <c r="D31" s="16"/>
      <c r="E31" s="16"/>
      <c r="F31" s="16"/>
    </row>
    <row r="32" spans="1:7">
      <c r="A32" s="16"/>
      <c r="B32" s="16"/>
      <c r="C32" s="16"/>
      <c r="D32" s="16"/>
      <c r="E32" s="16"/>
      <c r="F32" s="16"/>
    </row>
    <row r="33" spans="1:6">
      <c r="A33" s="16"/>
      <c r="B33" s="16"/>
      <c r="C33" s="16"/>
      <c r="D33" s="16"/>
      <c r="E33" s="16"/>
      <c r="F33" s="16"/>
    </row>
    <row r="34" spans="1:6">
      <c r="A34" s="16"/>
      <c r="B34" s="16"/>
      <c r="C34" s="16"/>
      <c r="D34" s="16"/>
      <c r="E34" s="16"/>
      <c r="F34" s="16"/>
    </row>
    <row r="35" spans="1:6">
      <c r="A35" s="16"/>
      <c r="B35" s="16"/>
      <c r="C35" s="16"/>
      <c r="D35" s="16"/>
      <c r="E35" s="16"/>
      <c r="F35" s="16"/>
    </row>
    <row r="36" spans="1:6">
      <c r="A36" s="16"/>
      <c r="B36" s="16"/>
      <c r="C36" s="16"/>
      <c r="D36" s="16"/>
      <c r="E36" s="16"/>
      <c r="F36" s="16"/>
    </row>
    <row r="37" spans="1:6">
      <c r="A37" s="16"/>
      <c r="B37" s="16"/>
      <c r="C37" s="16"/>
      <c r="D37" s="16"/>
      <c r="E37" s="16"/>
      <c r="F37" s="16"/>
    </row>
    <row r="38" spans="1:6">
      <c r="A38" s="16"/>
      <c r="B38" s="16"/>
      <c r="C38" s="16"/>
      <c r="D38" s="16"/>
      <c r="E38" s="16"/>
      <c r="F38" s="16"/>
    </row>
    <row r="39" spans="1:6">
      <c r="A39" s="16"/>
      <c r="B39" s="16"/>
      <c r="C39" s="16"/>
      <c r="D39" s="16"/>
      <c r="E39" s="16"/>
      <c r="F39" s="16"/>
    </row>
    <row r="40" spans="1:6">
      <c r="A40" s="16"/>
      <c r="B40" s="16"/>
      <c r="C40" s="16"/>
      <c r="D40" s="16"/>
      <c r="E40" s="16"/>
      <c r="F40" s="16"/>
    </row>
    <row r="41" spans="1:6">
      <c r="A41" s="16"/>
      <c r="B41" s="16"/>
      <c r="C41" s="16"/>
      <c r="D41" s="16"/>
      <c r="E41" s="16"/>
      <c r="F41" s="16"/>
    </row>
    <row r="42" spans="1:6">
      <c r="A42" s="16"/>
      <c r="B42" s="16"/>
      <c r="C42" s="16"/>
      <c r="D42" s="16"/>
      <c r="E42" s="16"/>
      <c r="F42" s="16"/>
    </row>
    <row r="43" spans="1:6">
      <c r="A43" s="16"/>
      <c r="B43" s="16"/>
      <c r="C43" s="16"/>
      <c r="D43" s="16"/>
      <c r="E43" s="16"/>
      <c r="F43" s="16"/>
    </row>
    <row r="44" spans="1:6">
      <c r="A44" s="16"/>
      <c r="B44" s="16"/>
      <c r="C44" s="16"/>
      <c r="D44" s="16"/>
      <c r="E44" s="16"/>
      <c r="F44" s="16"/>
    </row>
    <row r="45" spans="1:6">
      <c r="A45" s="16"/>
      <c r="B45" s="16"/>
      <c r="C45" s="16"/>
      <c r="D45" s="16"/>
      <c r="E45" s="16"/>
      <c r="F45" s="16"/>
    </row>
    <row r="46" spans="1:6">
      <c r="A46" s="16"/>
      <c r="B46" s="16"/>
      <c r="C46" s="16"/>
      <c r="D46" s="16"/>
      <c r="E46" s="16"/>
      <c r="F46" s="16"/>
    </row>
    <row r="47" spans="1:6">
      <c r="A47" s="16"/>
      <c r="B47" s="16"/>
      <c r="C47" s="16"/>
      <c r="D47" s="16"/>
      <c r="E47" s="16"/>
      <c r="F47" s="16"/>
    </row>
    <row r="48" spans="1:6">
      <c r="A48" s="16"/>
      <c r="B48" s="16"/>
      <c r="C48" s="16"/>
      <c r="D48" s="16"/>
      <c r="E48" s="16"/>
      <c r="F48" s="16"/>
    </row>
    <row r="49" spans="1:6">
      <c r="A49" s="16"/>
      <c r="B49" s="16"/>
      <c r="C49" s="16"/>
      <c r="D49" s="16"/>
      <c r="E49" s="16"/>
      <c r="F49" s="16"/>
    </row>
    <row r="50" spans="1:6">
      <c r="A50" s="16"/>
      <c r="B50" s="16"/>
      <c r="C50" s="16"/>
      <c r="D50" s="16"/>
      <c r="E50" s="16"/>
      <c r="F50" s="16"/>
    </row>
    <row r="51" spans="1:6">
      <c r="A51" s="16"/>
      <c r="B51" s="16"/>
      <c r="C51" s="16"/>
      <c r="D51" s="16"/>
      <c r="E51" s="16"/>
      <c r="F51" s="16"/>
    </row>
    <row r="52" spans="1:6">
      <c r="A52" s="16"/>
      <c r="B52" s="16"/>
      <c r="C52" s="16"/>
      <c r="D52" s="16"/>
      <c r="E52" s="16"/>
      <c r="F52" s="16"/>
    </row>
    <row r="53" spans="1:6">
      <c r="A53" s="16"/>
      <c r="B53" s="16"/>
      <c r="C53" s="16"/>
      <c r="D53" s="16"/>
      <c r="E53" s="16"/>
      <c r="F53" s="16"/>
    </row>
    <row r="54" spans="1:6">
      <c r="A54" s="16"/>
      <c r="B54" s="16"/>
      <c r="C54" s="16"/>
      <c r="D54" s="16"/>
      <c r="E54" s="16"/>
      <c r="F54" s="16"/>
    </row>
    <row r="55" spans="1:6">
      <c r="A55" s="16"/>
      <c r="B55" s="16"/>
      <c r="C55" s="16"/>
      <c r="D55" s="16"/>
      <c r="E55" s="16"/>
      <c r="F55" s="16"/>
    </row>
    <row r="56" spans="1:6">
      <c r="A56" s="16"/>
      <c r="B56" s="16"/>
      <c r="C56" s="16"/>
      <c r="D56" s="16"/>
      <c r="E56" s="16"/>
      <c r="F56" s="16"/>
    </row>
    <row r="57" spans="1:6">
      <c r="A57" s="16"/>
      <c r="B57" s="16"/>
      <c r="C57" s="16"/>
      <c r="D57" s="16"/>
      <c r="E57" s="16"/>
      <c r="F57" s="16"/>
    </row>
    <row r="58" spans="1:6">
      <c r="A58" s="16"/>
      <c r="B58" s="16"/>
      <c r="C58" s="16"/>
      <c r="D58" s="16"/>
      <c r="E58" s="16"/>
      <c r="F58" s="16"/>
    </row>
    <row r="59" spans="1:6">
      <c r="A59" s="16"/>
      <c r="B59" s="16"/>
      <c r="C59" s="16"/>
      <c r="D59" s="16"/>
      <c r="E59" s="16"/>
      <c r="F59" s="16"/>
    </row>
    <row r="60" spans="1:6">
      <c r="A60" s="16"/>
      <c r="B60" s="16"/>
      <c r="C60" s="16"/>
      <c r="D60" s="16"/>
      <c r="E60" s="16"/>
      <c r="F60" s="16"/>
    </row>
    <row r="61" spans="1:6">
      <c r="A61" s="16"/>
      <c r="B61" s="16"/>
      <c r="C61" s="16"/>
      <c r="D61" s="16"/>
      <c r="E61" s="16"/>
      <c r="F61" s="16"/>
    </row>
    <row r="62" spans="1:6">
      <c r="A62" s="16"/>
      <c r="B62" s="16"/>
      <c r="C62" s="16"/>
      <c r="D62" s="16"/>
      <c r="E62" s="16"/>
      <c r="F62" s="16"/>
    </row>
    <row r="63" spans="1:6">
      <c r="A63" s="16"/>
      <c r="B63" s="16"/>
      <c r="C63" s="16"/>
      <c r="D63" s="16"/>
      <c r="E63" s="16"/>
      <c r="F63" s="16"/>
    </row>
    <row r="64" spans="1:6">
      <c r="A64" s="16"/>
      <c r="B64" s="16"/>
      <c r="C64" s="16"/>
      <c r="D64" s="16"/>
      <c r="E64" s="16"/>
      <c r="F64" s="16"/>
    </row>
    <row r="65" spans="1:6">
      <c r="A65" s="16"/>
      <c r="B65" s="16"/>
      <c r="C65" s="16"/>
      <c r="D65" s="16"/>
      <c r="E65" s="16"/>
      <c r="F65" s="16"/>
    </row>
    <row r="66" spans="1:6">
      <c r="A66" s="16"/>
      <c r="B66" s="16"/>
      <c r="C66" s="16"/>
      <c r="D66" s="16"/>
      <c r="E66" s="16"/>
      <c r="F66" s="16"/>
    </row>
    <row r="67" spans="1:6">
      <c r="A67" s="16"/>
      <c r="B67" s="16"/>
      <c r="C67" s="16"/>
      <c r="D67" s="16"/>
      <c r="E67" s="16"/>
      <c r="F67" s="16"/>
    </row>
    <row r="68" spans="1:6">
      <c r="A68" s="16"/>
      <c r="B68" s="16"/>
      <c r="C68" s="16"/>
      <c r="D68" s="16"/>
      <c r="E68" s="16"/>
      <c r="F68" s="16"/>
    </row>
    <row r="69" spans="1:6">
      <c r="A69" s="16"/>
      <c r="B69" s="16"/>
      <c r="C69" s="16"/>
      <c r="D69" s="16"/>
      <c r="E69" s="16"/>
      <c r="F69" s="16"/>
    </row>
    <row r="70" spans="1:6">
      <c r="A70" s="16"/>
      <c r="B70" s="16"/>
      <c r="C70" s="16"/>
      <c r="D70" s="16"/>
      <c r="E70" s="16"/>
      <c r="F70" s="16"/>
    </row>
    <row r="71" spans="1:6">
      <c r="A71" s="16"/>
      <c r="B71" s="16"/>
      <c r="C71" s="16"/>
      <c r="D71" s="16"/>
      <c r="E71" s="16"/>
      <c r="F71" s="16"/>
    </row>
    <row r="72" spans="1:6">
      <c r="A72" s="16"/>
      <c r="B72" s="16"/>
      <c r="C72" s="16"/>
      <c r="D72" s="16"/>
      <c r="E72" s="16"/>
      <c r="F72" s="16"/>
    </row>
    <row r="73" spans="1:6">
      <c r="A73" s="16"/>
      <c r="B73" s="16"/>
      <c r="C73" s="16"/>
      <c r="D73" s="16"/>
      <c r="E73" s="16"/>
      <c r="F73" s="16"/>
    </row>
    <row r="74" spans="1:6">
      <c r="A74" s="16"/>
      <c r="B74" s="16"/>
      <c r="C74" s="16"/>
      <c r="D74" s="16"/>
      <c r="E74" s="16"/>
      <c r="F74" s="16"/>
    </row>
    <row r="75" spans="1:6">
      <c r="A75" s="16"/>
      <c r="B75" s="16"/>
      <c r="C75" s="16"/>
      <c r="D75" s="16"/>
      <c r="E75" s="16"/>
      <c r="F75" s="16"/>
    </row>
    <row r="76" spans="1:6">
      <c r="A76" s="16"/>
      <c r="B76" s="16"/>
      <c r="C76" s="16"/>
      <c r="D76" s="16"/>
      <c r="E76" s="16"/>
      <c r="F76" s="16"/>
    </row>
    <row r="77" spans="1:6">
      <c r="A77" s="16"/>
      <c r="B77" s="16"/>
      <c r="C77" s="16"/>
      <c r="D77" s="16"/>
      <c r="E77" s="16"/>
      <c r="F77" s="16"/>
    </row>
    <row r="78" spans="1:6">
      <c r="A78" s="16"/>
      <c r="B78" s="16"/>
      <c r="C78" s="16"/>
      <c r="D78" s="16"/>
      <c r="E78" s="16"/>
      <c r="F78" s="16"/>
    </row>
    <row r="79" spans="1:6">
      <c r="A79" s="16"/>
      <c r="B79" s="16"/>
      <c r="C79" s="16"/>
      <c r="D79" s="16"/>
      <c r="E79" s="16"/>
      <c r="F79" s="16"/>
    </row>
    <row r="80" spans="1:6">
      <c r="A80" s="16"/>
      <c r="B80" s="16"/>
      <c r="C80" s="16"/>
      <c r="D80" s="16"/>
      <c r="E80" s="16"/>
      <c r="F80" s="16"/>
    </row>
    <row r="81" spans="1:6">
      <c r="A81" s="16"/>
      <c r="B81" s="16"/>
      <c r="C81" s="16"/>
      <c r="D81" s="16"/>
      <c r="E81" s="16"/>
      <c r="F81" s="16"/>
    </row>
    <row r="82" spans="1:6">
      <c r="A82" s="16"/>
      <c r="B82" s="16"/>
      <c r="C82" s="16"/>
      <c r="D82" s="16"/>
      <c r="E82" s="16"/>
      <c r="F82" s="16"/>
    </row>
    <row r="83" spans="1:6">
      <c r="A83" s="16"/>
      <c r="B83" s="16"/>
      <c r="C83" s="16"/>
      <c r="D83" s="16"/>
      <c r="E83" s="16"/>
      <c r="F83" s="16"/>
    </row>
    <row r="84" spans="1:6">
      <c r="A84" s="16"/>
      <c r="B84" s="16"/>
      <c r="C84" s="16"/>
      <c r="D84" s="16"/>
      <c r="E84" s="16"/>
      <c r="F84" s="16"/>
    </row>
    <row r="85" spans="1:6">
      <c r="A85" s="16"/>
      <c r="B85" s="16"/>
      <c r="C85" s="16"/>
      <c r="D85" s="16"/>
      <c r="E85" s="16"/>
      <c r="F85" s="16"/>
    </row>
    <row r="86" spans="1:6">
      <c r="A86" s="16"/>
      <c r="B86" s="16"/>
      <c r="C86" s="16"/>
      <c r="D86" s="16"/>
      <c r="E86" s="16"/>
      <c r="F86" s="16"/>
    </row>
    <row r="87" spans="1:6">
      <c r="A87" s="16"/>
      <c r="B87" s="16"/>
      <c r="C87" s="16"/>
      <c r="D87" s="16"/>
      <c r="E87" s="16"/>
      <c r="F87" s="16"/>
    </row>
    <row r="88" spans="1:6">
      <c r="A88" s="16"/>
      <c r="B88" s="16"/>
      <c r="C88" s="16"/>
      <c r="D88" s="16"/>
      <c r="E88" s="16"/>
      <c r="F88" s="16"/>
    </row>
    <row r="89" spans="1:6">
      <c r="A89" s="16"/>
      <c r="B89" s="16"/>
      <c r="C89" s="16"/>
      <c r="D89" s="16"/>
      <c r="E89" s="16"/>
      <c r="F89" s="16"/>
    </row>
    <row r="90" spans="1:6">
      <c r="A90" s="16"/>
      <c r="B90" s="16"/>
      <c r="C90" s="16"/>
      <c r="D90" s="16"/>
      <c r="E90" s="16"/>
      <c r="F90" s="16"/>
    </row>
    <row r="91" spans="1:6">
      <c r="A91" s="16"/>
      <c r="B91" s="16"/>
    </row>
    <row r="92" spans="1:6">
      <c r="A92" s="16"/>
      <c r="B92" s="16"/>
    </row>
    <row r="93" spans="1:6">
      <c r="A93" s="16"/>
      <c r="B93" s="16"/>
    </row>
    <row r="94" spans="1:6">
      <c r="A94" s="16"/>
      <c r="B94" s="16"/>
    </row>
    <row r="95" spans="1:6">
      <c r="A95" s="16"/>
      <c r="B95" s="16"/>
    </row>
    <row r="96" spans="1:6">
      <c r="A96" s="16"/>
      <c r="B96" s="16"/>
    </row>
    <row r="97" spans="1:2">
      <c r="A97" s="16"/>
      <c r="B97" s="16"/>
    </row>
    <row r="98" spans="1:2">
      <c r="A98" s="16"/>
      <c r="B98" s="16"/>
    </row>
    <row r="99" spans="1:2">
      <c r="A99" s="16"/>
      <c r="B99" s="16"/>
    </row>
    <row r="100" spans="1:2">
      <c r="A100" s="16"/>
      <c r="B100" s="16"/>
    </row>
    <row r="101" spans="1:2">
      <c r="A101" s="16"/>
      <c r="B101" s="16"/>
    </row>
    <row r="102" spans="1:2">
      <c r="A102" s="16"/>
      <c r="B102" s="16"/>
    </row>
    <row r="103" spans="1:2">
      <c r="A103" s="16"/>
      <c r="B103" s="16"/>
    </row>
    <row r="104" spans="1:2">
      <c r="A104" s="16"/>
      <c r="B104" s="16"/>
    </row>
    <row r="105" spans="1:2">
      <c r="A105" s="16"/>
      <c r="B105" s="16"/>
    </row>
    <row r="106" spans="1:2">
      <c r="A106" s="16"/>
      <c r="B106" s="16"/>
    </row>
    <row r="107" spans="1:2">
      <c r="A107" s="16"/>
      <c r="B107" s="16"/>
    </row>
    <row r="108" spans="1:2">
      <c r="A108" s="16"/>
      <c r="B108" s="16"/>
    </row>
    <row r="109" spans="1:2">
      <c r="A109" s="16"/>
      <c r="B109" s="16"/>
    </row>
    <row r="110" spans="1:2">
      <c r="A110" s="16"/>
      <c r="B110" s="16"/>
    </row>
    <row r="111" spans="1:2">
      <c r="A111" s="16"/>
      <c r="B111" s="16"/>
    </row>
    <row r="112" spans="1:2">
      <c r="A112" s="16"/>
      <c r="B112" s="16"/>
    </row>
    <row r="113" spans="1:2">
      <c r="A113" s="16"/>
      <c r="B113" s="16"/>
    </row>
    <row r="114" spans="1:2">
      <c r="A114" s="16"/>
      <c r="B114" s="16"/>
    </row>
    <row r="115" spans="1:2">
      <c r="A115" s="16"/>
      <c r="B115" s="16"/>
    </row>
    <row r="116" spans="1:2">
      <c r="A116" s="16"/>
      <c r="B116" s="16"/>
    </row>
    <row r="117" spans="1:2">
      <c r="A117" s="16"/>
      <c r="B117" s="16"/>
    </row>
    <row r="118" spans="1:2">
      <c r="A118" s="16"/>
      <c r="B118" s="16"/>
    </row>
    <row r="119" spans="1:2">
      <c r="A119" s="16"/>
      <c r="B119" s="16"/>
    </row>
    <row r="120" spans="1:2">
      <c r="A120" s="16"/>
      <c r="B120" s="16"/>
    </row>
    <row r="121" spans="1:2">
      <c r="A121" s="16"/>
      <c r="B121" s="16"/>
    </row>
    <row r="122" spans="1:2">
      <c r="A122" s="16"/>
      <c r="B122" s="16"/>
    </row>
    <row r="123" spans="1:2">
      <c r="A123" s="16"/>
      <c r="B123" s="16"/>
    </row>
    <row r="124" spans="1:2">
      <c r="A124" s="16"/>
      <c r="B124" s="16"/>
    </row>
    <row r="125" spans="1:2">
      <c r="A125" s="16"/>
      <c r="B125" s="16"/>
    </row>
    <row r="126" spans="1:2">
      <c r="A126" s="16"/>
      <c r="B126" s="16"/>
    </row>
    <row r="127" spans="1:2">
      <c r="A127" s="16"/>
      <c r="B127" s="16"/>
    </row>
    <row r="128" spans="1:2">
      <c r="A128" s="16"/>
      <c r="B128" s="16"/>
    </row>
    <row r="129" spans="1:2">
      <c r="A129" s="16"/>
      <c r="B129" s="16"/>
    </row>
    <row r="130" spans="1:2">
      <c r="A130" s="16"/>
      <c r="B130" s="16"/>
    </row>
    <row r="131" spans="1:2">
      <c r="A131" s="16"/>
      <c r="B131" s="16"/>
    </row>
    <row r="132" spans="1:2">
      <c r="A132" s="16"/>
      <c r="B132" s="16"/>
    </row>
    <row r="133" spans="1:2">
      <c r="A133" s="16"/>
      <c r="B133" s="16"/>
    </row>
    <row r="134" spans="1:2">
      <c r="A134" s="16"/>
      <c r="B134" s="16"/>
    </row>
    <row r="135" spans="1:2">
      <c r="A135" s="16"/>
      <c r="B135" s="16"/>
    </row>
    <row r="136" spans="1:2">
      <c r="A136" s="16"/>
      <c r="B136" s="16"/>
    </row>
    <row r="137" spans="1:2">
      <c r="A137" s="16"/>
      <c r="B137" s="16"/>
    </row>
    <row r="138" spans="1:2">
      <c r="A138" s="16"/>
      <c r="B138" s="16"/>
    </row>
    <row r="139" spans="1:2">
      <c r="A139" s="16"/>
      <c r="B139" s="16"/>
    </row>
    <row r="140" spans="1:2">
      <c r="A140" s="16"/>
      <c r="B140" s="16"/>
    </row>
    <row r="141" spans="1:2">
      <c r="A141" s="16"/>
      <c r="B141" s="16"/>
    </row>
    <row r="142" spans="1:2">
      <c r="A142" s="16"/>
      <c r="B142" s="16"/>
    </row>
    <row r="143" spans="1:2">
      <c r="A143" s="16"/>
      <c r="B143" s="16"/>
    </row>
    <row r="144" spans="1:2">
      <c r="A144" s="16"/>
      <c r="B144" s="16"/>
    </row>
    <row r="145" spans="1:2">
      <c r="A145" s="16"/>
      <c r="B145" s="16"/>
    </row>
    <row r="146" spans="1:2">
      <c r="A146" s="16"/>
      <c r="B146" s="16"/>
    </row>
    <row r="147" spans="1:2">
      <c r="A147" s="16"/>
      <c r="B147" s="16"/>
    </row>
    <row r="148" spans="1:2">
      <c r="A148" s="16"/>
      <c r="B148" s="16"/>
    </row>
    <row r="149" spans="1:2">
      <c r="A149" s="16"/>
      <c r="B149" s="16"/>
    </row>
    <row r="150" spans="1:2">
      <c r="A150" s="16"/>
      <c r="B150" s="16"/>
    </row>
    <row r="151" spans="1:2">
      <c r="A151" s="16"/>
      <c r="B151" s="16"/>
    </row>
    <row r="152" spans="1:2">
      <c r="A152" s="16"/>
      <c r="B152" s="16"/>
    </row>
    <row r="153" spans="1:2">
      <c r="A153" s="16"/>
      <c r="B153" s="16"/>
    </row>
    <row r="154" spans="1:2">
      <c r="A154" s="16"/>
      <c r="B154" s="16"/>
    </row>
    <row r="155" spans="1:2">
      <c r="A155" s="16"/>
      <c r="B155" s="16"/>
    </row>
    <row r="156" spans="1:2">
      <c r="A156" s="16"/>
      <c r="B156" s="16"/>
    </row>
    <row r="157" spans="1:2">
      <c r="A157" s="16"/>
      <c r="B157" s="16"/>
    </row>
    <row r="158" spans="1:2">
      <c r="A158" s="16"/>
      <c r="B158" s="16"/>
    </row>
    <row r="159" spans="1:2">
      <c r="A159" s="16"/>
      <c r="B159" s="16"/>
    </row>
    <row r="160" spans="1:2">
      <c r="A160" s="16"/>
      <c r="B160" s="16"/>
    </row>
    <row r="161" spans="1:2">
      <c r="A161" s="16"/>
      <c r="B161" s="16"/>
    </row>
    <row r="162" spans="1:2">
      <c r="A162" s="16"/>
      <c r="B162" s="16"/>
    </row>
    <row r="163" spans="1:2">
      <c r="A163" s="16"/>
      <c r="B163" s="16"/>
    </row>
    <row r="164" spans="1:2">
      <c r="A164" s="16"/>
      <c r="B164" s="16"/>
    </row>
    <row r="165" spans="1:2">
      <c r="A165" s="16"/>
      <c r="B165" s="16"/>
    </row>
    <row r="166" spans="1:2">
      <c r="A166" s="16"/>
      <c r="B166" s="16"/>
    </row>
    <row r="167" spans="1:2">
      <c r="A167" s="16"/>
      <c r="B167" s="16"/>
    </row>
    <row r="168" spans="1:2">
      <c r="A168" s="16"/>
      <c r="B168" s="16"/>
    </row>
    <row r="169" spans="1:2">
      <c r="A169" s="16"/>
      <c r="B169" s="16"/>
    </row>
    <row r="170" spans="1:2">
      <c r="A170" s="16"/>
      <c r="B170" s="16"/>
    </row>
    <row r="171" spans="1:2">
      <c r="A171" s="16"/>
      <c r="B171" s="16"/>
    </row>
    <row r="172" spans="1:2">
      <c r="A172" s="16"/>
      <c r="B172" s="16"/>
    </row>
    <row r="173" spans="1:2">
      <c r="A173" s="16"/>
      <c r="B173" s="16"/>
    </row>
    <row r="174" spans="1:2">
      <c r="A174" s="16"/>
      <c r="B174" s="16"/>
    </row>
    <row r="175" spans="1:2">
      <c r="A175" s="16"/>
      <c r="B175" s="16"/>
    </row>
    <row r="176" spans="1:2">
      <c r="A176" s="16"/>
      <c r="B176" s="16"/>
    </row>
    <row r="177" spans="1:2">
      <c r="A177" s="16"/>
      <c r="B177" s="16"/>
    </row>
    <row r="178" spans="1:2">
      <c r="A178" s="16"/>
      <c r="B178" s="16"/>
    </row>
    <row r="179" spans="1:2">
      <c r="A179" s="16"/>
      <c r="B179" s="16"/>
    </row>
    <row r="180" spans="1:2">
      <c r="A180" s="16"/>
      <c r="B180" s="16"/>
    </row>
    <row r="181" spans="1:2">
      <c r="A181" s="16"/>
      <c r="B181" s="16"/>
    </row>
    <row r="182" spans="1:2">
      <c r="A182" s="16"/>
      <c r="B182" s="16"/>
    </row>
    <row r="183" spans="1:2">
      <c r="A183" s="16"/>
      <c r="B183" s="16"/>
    </row>
    <row r="184" spans="1:2">
      <c r="A184" s="16"/>
      <c r="B184" s="16"/>
    </row>
    <row r="185" spans="1:2">
      <c r="A185" s="16"/>
      <c r="B185" s="16"/>
    </row>
    <row r="186" spans="1:2">
      <c r="A186" s="16"/>
      <c r="B186" s="16"/>
    </row>
    <row r="187" spans="1:2">
      <c r="A187" s="16"/>
      <c r="B187" s="16"/>
    </row>
    <row r="188" spans="1:2">
      <c r="A188" s="16"/>
      <c r="B188" s="16"/>
    </row>
    <row r="189" spans="1:2">
      <c r="A189" s="16"/>
      <c r="B189" s="16"/>
    </row>
    <row r="190" spans="1:2">
      <c r="A190" s="16"/>
      <c r="B190" s="16"/>
    </row>
    <row r="191" spans="1:2">
      <c r="A191" s="16"/>
      <c r="B191" s="16"/>
    </row>
    <row r="192" spans="1:2">
      <c r="A192" s="16"/>
      <c r="B192" s="16"/>
    </row>
    <row r="193" spans="1:2">
      <c r="A193" s="16"/>
      <c r="B193" s="16"/>
    </row>
    <row r="194" spans="1:2">
      <c r="A194" s="16"/>
      <c r="B194" s="16"/>
    </row>
    <row r="195" spans="1:2">
      <c r="A195" s="16"/>
      <c r="B195" s="16"/>
    </row>
    <row r="196" spans="1:2">
      <c r="A196" s="16"/>
      <c r="B196" s="16"/>
    </row>
    <row r="197" spans="1:2">
      <c r="A197" s="16"/>
      <c r="B197" s="16"/>
    </row>
    <row r="198" spans="1:2">
      <c r="A198" s="16"/>
      <c r="B198" s="16"/>
    </row>
    <row r="199" spans="1:2">
      <c r="A199" s="16"/>
      <c r="B199" s="16"/>
    </row>
    <row r="200" spans="1:2">
      <c r="A200" s="16"/>
      <c r="B200" s="16"/>
    </row>
    <row r="201" spans="1:2">
      <c r="A201" s="16"/>
      <c r="B201" s="16"/>
    </row>
    <row r="202" spans="1:2">
      <c r="A202" s="16"/>
      <c r="B202" s="16"/>
    </row>
    <row r="203" spans="1:2">
      <c r="A203" s="16"/>
      <c r="B203" s="16"/>
    </row>
    <row r="204" spans="1:2">
      <c r="A204" s="16"/>
      <c r="B204" s="16"/>
    </row>
    <row r="205" spans="1:2">
      <c r="A205" s="16"/>
      <c r="B205" s="16"/>
    </row>
    <row r="206" spans="1:2">
      <c r="A206" s="16"/>
      <c r="B206" s="16"/>
    </row>
    <row r="207" spans="1:2">
      <c r="A207" s="16"/>
      <c r="B207" s="16"/>
    </row>
    <row r="208" spans="1:2">
      <c r="A208" s="16"/>
      <c r="B208" s="16"/>
    </row>
    <row r="209" spans="1:2">
      <c r="A209" s="16"/>
      <c r="B209" s="16"/>
    </row>
    <row r="210" spans="1:2">
      <c r="A210" s="16"/>
      <c r="B210" s="16"/>
    </row>
    <row r="211" spans="1:2">
      <c r="A211" s="16"/>
      <c r="B211" s="16"/>
    </row>
    <row r="212" spans="1:2">
      <c r="A212" s="16"/>
      <c r="B212" s="16"/>
    </row>
    <row r="213" spans="1:2">
      <c r="A213" s="16"/>
      <c r="B213" s="16"/>
    </row>
    <row r="214" spans="1:2">
      <c r="A214" s="16"/>
      <c r="B214" s="16"/>
    </row>
    <row r="215" spans="1:2">
      <c r="A215" s="16"/>
      <c r="B215" s="16"/>
    </row>
    <row r="216" spans="1:2">
      <c r="A216" s="16"/>
      <c r="B216" s="16"/>
    </row>
    <row r="217" spans="1:2">
      <c r="A217" s="16"/>
      <c r="B217" s="16"/>
    </row>
    <row r="218" spans="1:2">
      <c r="A218" s="16"/>
      <c r="B218" s="16"/>
    </row>
    <row r="219" spans="1:2">
      <c r="A219" s="16"/>
      <c r="B219" s="16"/>
    </row>
    <row r="220" spans="1:2">
      <c r="A220" s="16"/>
      <c r="B220" s="16"/>
    </row>
    <row r="221" spans="1:2">
      <c r="A221" s="16"/>
      <c r="B221" s="16"/>
    </row>
    <row r="222" spans="1:2">
      <c r="A222" s="16"/>
      <c r="B222" s="16"/>
    </row>
    <row r="223" spans="1:2">
      <c r="A223" s="16"/>
      <c r="B223" s="16"/>
    </row>
    <row r="224" spans="1:2">
      <c r="A224" s="16"/>
      <c r="B224" s="16"/>
    </row>
    <row r="225" spans="1:2">
      <c r="A225" s="16"/>
      <c r="B225" s="16"/>
    </row>
    <row r="226" spans="1:2">
      <c r="A226" s="16"/>
      <c r="B226" s="16"/>
    </row>
    <row r="227" spans="1:2">
      <c r="A227" s="16"/>
      <c r="B227" s="16"/>
    </row>
    <row r="228" spans="1:2">
      <c r="A228" s="16"/>
      <c r="B228" s="16"/>
    </row>
    <row r="229" spans="1:2">
      <c r="A229" s="16"/>
      <c r="B229" s="16"/>
    </row>
    <row r="230" spans="1:2">
      <c r="A230" s="16"/>
      <c r="B230" s="16"/>
    </row>
    <row r="231" spans="1:2">
      <c r="A231" s="16"/>
      <c r="B231" s="16"/>
    </row>
    <row r="232" spans="1:2">
      <c r="A232" s="16"/>
      <c r="B232" s="16"/>
    </row>
    <row r="233" spans="1:2">
      <c r="A233" s="16"/>
      <c r="B233" s="16"/>
    </row>
    <row r="234" spans="1:2">
      <c r="A234" s="16"/>
      <c r="B234" s="16"/>
    </row>
    <row r="235" spans="1:2">
      <c r="A235" s="16"/>
      <c r="B235" s="16"/>
    </row>
  </sheetData>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30"/>
  <sheetViews>
    <sheetView showGridLines="0" zoomScale="90" zoomScaleNormal="90" workbookViewId="0">
      <selection activeCell="D27" sqref="D27"/>
    </sheetView>
  </sheetViews>
  <sheetFormatPr defaultRowHeight="15"/>
  <cols>
    <col min="1" max="1" width="11" customWidth="1"/>
    <col min="2" max="2" width="12.85546875" customWidth="1"/>
    <col min="3" max="3" width="12.5703125" customWidth="1"/>
    <col min="4" max="4" width="15.42578125" customWidth="1"/>
    <col min="5" max="5" width="15.85546875" customWidth="1"/>
    <col min="7" max="7" width="10.28515625" customWidth="1"/>
    <col min="8" max="8" width="10" customWidth="1"/>
    <col min="10" max="10" width="10.140625" customWidth="1"/>
    <col min="11" max="11" width="11.28515625" customWidth="1"/>
    <col min="12" max="12" width="10.140625" customWidth="1"/>
  </cols>
  <sheetData>
    <row r="1" spans="1:12" ht="32.25" thickBot="1">
      <c r="A1" s="247">
        <v>0</v>
      </c>
      <c r="B1" s="247"/>
      <c r="C1" s="76"/>
      <c r="D1" s="76"/>
      <c r="E1" s="76"/>
      <c r="F1" s="76"/>
      <c r="G1" s="76"/>
      <c r="H1" s="76"/>
      <c r="I1" s="76"/>
      <c r="J1" s="76"/>
      <c r="K1" s="76"/>
      <c r="L1" s="76"/>
    </row>
    <row r="2" spans="1:12" ht="15.75" thickTop="1"/>
    <row r="3" spans="1:12" ht="18.75">
      <c r="A3" s="74" t="s">
        <v>203</v>
      </c>
    </row>
    <row r="4" spans="1:12">
      <c r="A4" s="227" t="s">
        <v>320</v>
      </c>
      <c r="B4" s="227"/>
      <c r="C4" s="227"/>
      <c r="D4" s="227"/>
      <c r="E4" s="227"/>
      <c r="F4" s="227"/>
      <c r="G4" s="227"/>
      <c r="H4" s="227"/>
      <c r="I4" s="227"/>
      <c r="J4" s="227"/>
    </row>
    <row r="5" spans="1:12">
      <c r="A5" s="227"/>
      <c r="B5" s="227"/>
      <c r="C5" s="227"/>
      <c r="D5" s="227"/>
      <c r="E5" s="227"/>
      <c r="F5" s="227"/>
      <c r="G5" s="227"/>
      <c r="H5" s="227"/>
      <c r="I5" s="227"/>
      <c r="J5" s="227"/>
    </row>
    <row r="6" spans="1:12">
      <c r="A6" s="91"/>
      <c r="B6" s="91"/>
      <c r="C6" s="91"/>
      <c r="D6" s="91"/>
      <c r="E6" s="91"/>
      <c r="F6" s="91"/>
      <c r="G6" s="91"/>
      <c r="H6" s="91"/>
      <c r="I6" s="91"/>
      <c r="J6" s="91"/>
    </row>
    <row r="7" spans="1:12" ht="18.75">
      <c r="A7" s="74" t="s">
        <v>24</v>
      </c>
    </row>
    <row r="8" spans="1:12" ht="15.75">
      <c r="A8" s="80" t="s">
        <v>321</v>
      </c>
    </row>
    <row r="10" spans="1:12" ht="15.75">
      <c r="A10" s="73" t="s">
        <v>240</v>
      </c>
    </row>
    <row r="11" spans="1:12">
      <c r="A11" t="s">
        <v>293</v>
      </c>
    </row>
    <row r="13" spans="1:12" ht="15.75">
      <c r="A13" s="73" t="s">
        <v>295</v>
      </c>
    </row>
    <row r="14" spans="1:12">
      <c r="A14" t="s">
        <v>322</v>
      </c>
    </row>
    <row r="16" spans="1:12" ht="15.75">
      <c r="A16" s="73" t="s">
        <v>44</v>
      </c>
    </row>
    <row r="17" spans="1:10">
      <c r="A17" t="s">
        <v>297</v>
      </c>
    </row>
    <row r="18" spans="1:10">
      <c r="A18" s="85" t="s">
        <v>304</v>
      </c>
      <c r="B18" s="245" t="s">
        <v>301</v>
      </c>
      <c r="C18" s="245"/>
      <c r="D18" s="245"/>
    </row>
    <row r="19" spans="1:10" ht="15" customHeight="1">
      <c r="A19" s="95">
        <v>1</v>
      </c>
      <c r="B19" s="77">
        <f>_xlfn.IFNA(A19,9999)</f>
        <v>1</v>
      </c>
      <c r="C19" s="246" t="s">
        <v>324</v>
      </c>
      <c r="D19" s="246"/>
      <c r="F19" s="241" t="s">
        <v>325</v>
      </c>
      <c r="G19" s="241"/>
      <c r="H19" s="241"/>
    </row>
    <row r="20" spans="1:10">
      <c r="A20" s="103" t="e">
        <v>#N/A</v>
      </c>
      <c r="B20" s="100">
        <f>_xlfn.IFNA(A20,9999)</f>
        <v>9999</v>
      </c>
      <c r="C20" s="246" t="s">
        <v>323</v>
      </c>
      <c r="D20" s="246"/>
      <c r="F20" s="241"/>
      <c r="G20" s="241"/>
      <c r="H20" s="241"/>
    </row>
    <row r="21" spans="1:10" ht="15.75">
      <c r="A21" s="73"/>
      <c r="F21" s="241"/>
      <c r="G21" s="241"/>
      <c r="H21" s="241"/>
    </row>
    <row r="22" spans="1:10" ht="15.75">
      <c r="A22" s="73"/>
    </row>
    <row r="23" spans="1:10" ht="15.75">
      <c r="A23" s="73" t="s">
        <v>235</v>
      </c>
    </row>
    <row r="24" spans="1:10" ht="15" customHeight="1">
      <c r="A24" s="227" t="s">
        <v>327</v>
      </c>
      <c r="B24" s="227"/>
      <c r="C24" s="227"/>
      <c r="D24" s="227"/>
      <c r="E24" s="227"/>
      <c r="F24" s="227"/>
      <c r="G24" s="227"/>
      <c r="H24" s="227"/>
      <c r="I24" s="227"/>
      <c r="J24" s="227"/>
    </row>
    <row r="25" spans="1:10">
      <c r="A25" s="227"/>
      <c r="B25" s="227"/>
      <c r="C25" s="227"/>
      <c r="D25" s="227"/>
      <c r="E25" s="227"/>
      <c r="F25" s="227"/>
      <c r="G25" s="227"/>
      <c r="H25" s="227"/>
      <c r="I25" s="227"/>
      <c r="J25" s="227"/>
    </row>
    <row r="26" spans="1:10" ht="37.5" customHeight="1">
      <c r="A26" s="97" t="s">
        <v>219</v>
      </c>
      <c r="B26" s="97" t="s">
        <v>224</v>
      </c>
      <c r="C26" s="94" t="s">
        <v>317</v>
      </c>
      <c r="D26" s="94" t="s">
        <v>326</v>
      </c>
    </row>
    <row r="27" spans="1:10">
      <c r="A27" s="77" t="s">
        <v>220</v>
      </c>
      <c r="B27" s="77" t="s">
        <v>225</v>
      </c>
      <c r="C27" s="102">
        <v>80000</v>
      </c>
      <c r="D27" s="219">
        <f>_xlfn.IFNA(C27/12,"ERROR IN SALARY")</f>
        <v>6666.666666666667</v>
      </c>
    </row>
    <row r="28" spans="1:10">
      <c r="A28" s="77" t="s">
        <v>221</v>
      </c>
      <c r="B28" s="77" t="s">
        <v>226</v>
      </c>
      <c r="C28" s="102">
        <v>50000</v>
      </c>
      <c r="D28" s="219">
        <f t="shared" ref="D28:D30" si="0">_xlfn.IFNA(C28/12,"ERROR IN SALARY")</f>
        <v>4166.666666666667</v>
      </c>
    </row>
    <row r="29" spans="1:10">
      <c r="A29" s="77" t="s">
        <v>222</v>
      </c>
      <c r="B29" s="77" t="s">
        <v>226</v>
      </c>
      <c r="C29" s="89" t="e">
        <v>#N/A</v>
      </c>
      <c r="D29" s="219" t="str">
        <f t="shared" si="0"/>
        <v>ERROR IN SALARY</v>
      </c>
    </row>
    <row r="30" spans="1:10">
      <c r="A30" s="77" t="s">
        <v>223</v>
      </c>
      <c r="B30" s="77" t="s">
        <v>226</v>
      </c>
      <c r="C30" s="102">
        <v>40000</v>
      </c>
      <c r="D30" s="219">
        <f t="shared" si="0"/>
        <v>3333.3333333333335</v>
      </c>
    </row>
  </sheetData>
  <mergeCells count="7">
    <mergeCell ref="A1:B1"/>
    <mergeCell ref="A4:J5"/>
    <mergeCell ref="A24:J25"/>
    <mergeCell ref="C19:D19"/>
    <mergeCell ref="C20:D20"/>
    <mergeCell ref="B18:D18"/>
    <mergeCell ref="F19:H21"/>
  </mergeCells>
  <pageMargins left="0.7" right="0.7" top="0.75" bottom="0.75" header="0.3" footer="0.3"/>
  <pageSetup orientation="portrait" horizontalDpi="4294967293" verticalDpi="4294967293"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32"/>
  <sheetViews>
    <sheetView showGridLines="0" zoomScale="90" zoomScaleNormal="90" workbookViewId="0">
      <selection activeCell="M41" sqref="M41"/>
    </sheetView>
  </sheetViews>
  <sheetFormatPr defaultRowHeight="15"/>
  <cols>
    <col min="1" max="1" width="11" customWidth="1"/>
    <col min="2" max="2" width="12.85546875" customWidth="1"/>
    <col min="3" max="3" width="10.140625" customWidth="1"/>
    <col min="4" max="4" width="15.42578125" customWidth="1"/>
    <col min="5" max="5" width="15.85546875" customWidth="1"/>
    <col min="7" max="7" width="10.28515625" customWidth="1"/>
    <col min="10" max="10" width="10.140625" customWidth="1"/>
    <col min="11" max="11" width="11.28515625" customWidth="1"/>
    <col min="12" max="12" width="10.140625" customWidth="1"/>
  </cols>
  <sheetData>
    <row r="1" spans="1:12" ht="32.25" thickBot="1">
      <c r="A1" s="240" t="s">
        <v>160</v>
      </c>
      <c r="B1" s="240"/>
      <c r="C1" s="76"/>
      <c r="D1" s="76"/>
      <c r="E1" s="76"/>
      <c r="F1" s="76"/>
      <c r="G1" s="76"/>
      <c r="H1" s="76"/>
      <c r="I1" s="76"/>
      <c r="J1" s="76"/>
      <c r="K1" s="76"/>
      <c r="L1" s="76"/>
    </row>
    <row r="2" spans="1:12" ht="15.75" thickTop="1"/>
    <row r="3" spans="1:12" ht="18.75">
      <c r="A3" s="74" t="s">
        <v>203</v>
      </c>
    </row>
    <row r="4" spans="1:12">
      <c r="A4" s="227" t="s">
        <v>337</v>
      </c>
      <c r="B4" s="227"/>
      <c r="C4" s="227"/>
      <c r="D4" s="227"/>
      <c r="E4" s="227"/>
      <c r="F4" s="227"/>
      <c r="G4" s="227"/>
      <c r="H4" s="227"/>
      <c r="I4" s="227"/>
      <c r="J4" s="227"/>
    </row>
    <row r="5" spans="1:12">
      <c r="A5" s="227"/>
      <c r="B5" s="227"/>
      <c r="C5" s="227"/>
      <c r="D5" s="227"/>
      <c r="E5" s="227"/>
      <c r="F5" s="227"/>
      <c r="G5" s="227"/>
      <c r="H5" s="227"/>
      <c r="I5" s="227"/>
      <c r="J5" s="227"/>
    </row>
    <row r="6" spans="1:12">
      <c r="A6" s="91"/>
      <c r="B6" s="91"/>
      <c r="C6" s="91"/>
      <c r="D6" s="91"/>
      <c r="E6" s="91"/>
      <c r="F6" s="91"/>
      <c r="G6" s="91"/>
      <c r="H6" s="91"/>
      <c r="I6" s="91"/>
      <c r="J6" s="91"/>
    </row>
    <row r="7" spans="1:12" ht="18.75">
      <c r="A7" s="74" t="s">
        <v>24</v>
      </c>
    </row>
    <row r="8" spans="1:12" ht="15.75">
      <c r="A8" s="80" t="s">
        <v>328</v>
      </c>
    </row>
    <row r="10" spans="1:12" ht="15.75">
      <c r="A10" s="73" t="s">
        <v>329</v>
      </c>
    </row>
    <row r="11" spans="1:12">
      <c r="A11" t="s">
        <v>331</v>
      </c>
    </row>
    <row r="13" spans="1:12" ht="15.75">
      <c r="A13" s="73" t="s">
        <v>330</v>
      </c>
    </row>
    <row r="14" spans="1:12">
      <c r="A14" t="s">
        <v>332</v>
      </c>
    </row>
    <row r="16" spans="1:12" ht="15.75">
      <c r="A16" s="73" t="s">
        <v>44</v>
      </c>
    </row>
    <row r="17" spans="1:10">
      <c r="A17" t="s">
        <v>246</v>
      </c>
    </row>
    <row r="18" spans="1:10">
      <c r="A18" s="85" t="s">
        <v>304</v>
      </c>
      <c r="B18" s="85" t="s">
        <v>305</v>
      </c>
      <c r="C18" s="85" t="s">
        <v>49</v>
      </c>
      <c r="D18" s="229" t="s">
        <v>217</v>
      </c>
      <c r="E18" s="229"/>
    </row>
    <row r="19" spans="1:10">
      <c r="A19" s="95" t="s">
        <v>333</v>
      </c>
      <c r="B19" s="95" t="s">
        <v>333</v>
      </c>
      <c r="C19" s="77" t="b">
        <f>EXACT(A19,B19)</f>
        <v>1</v>
      </c>
      <c r="D19" s="234" t="s">
        <v>335</v>
      </c>
      <c r="E19" s="235"/>
    </row>
    <row r="20" spans="1:10">
      <c r="A20" s="95" t="s">
        <v>333</v>
      </c>
      <c r="B20" s="95" t="s">
        <v>334</v>
      </c>
      <c r="C20" s="77" t="b">
        <f>EXACT(A20,B20)</f>
        <v>0</v>
      </c>
      <c r="D20" s="234" t="s">
        <v>336</v>
      </c>
      <c r="E20" s="235"/>
    </row>
    <row r="21" spans="1:10" ht="15.75">
      <c r="A21" s="73"/>
    </row>
    <row r="22" spans="1:10" ht="15.75">
      <c r="A22" s="73" t="s">
        <v>156</v>
      </c>
    </row>
    <row r="23" spans="1:10">
      <c r="A23" s="227" t="s">
        <v>342</v>
      </c>
      <c r="B23" s="227"/>
      <c r="C23" s="227"/>
      <c r="D23" s="227"/>
      <c r="E23" s="227"/>
      <c r="F23" s="227"/>
      <c r="G23" s="227"/>
      <c r="H23" s="227"/>
      <c r="I23" s="227"/>
      <c r="J23" s="227"/>
    </row>
    <row r="24" spans="1:10" ht="15.75" customHeight="1">
      <c r="A24" s="227"/>
      <c r="B24" s="227"/>
      <c r="C24" s="227"/>
      <c r="D24" s="227"/>
      <c r="E24" s="227"/>
      <c r="F24" s="227"/>
      <c r="G24" s="227"/>
      <c r="H24" s="227"/>
      <c r="I24" s="227"/>
      <c r="J24" s="227"/>
    </row>
    <row r="25" spans="1:10" ht="15.75">
      <c r="A25" s="73"/>
    </row>
    <row r="26" spans="1:10" ht="15.75">
      <c r="A26" s="73" t="s">
        <v>235</v>
      </c>
    </row>
    <row r="27" spans="1:10" ht="15" customHeight="1">
      <c r="A27" s="227" t="s">
        <v>341</v>
      </c>
      <c r="B27" s="227"/>
      <c r="C27" s="227"/>
      <c r="D27" s="227"/>
      <c r="E27" s="227"/>
      <c r="F27" s="227"/>
      <c r="G27" s="227"/>
      <c r="H27" s="227"/>
      <c r="I27" s="227"/>
      <c r="J27" s="227"/>
    </row>
    <row r="28" spans="1:10">
      <c r="A28" s="97" t="s">
        <v>304</v>
      </c>
      <c r="B28" s="97" t="s">
        <v>305</v>
      </c>
      <c r="C28" s="97" t="s">
        <v>338</v>
      </c>
    </row>
    <row r="29" spans="1:10">
      <c r="A29" s="77" t="s">
        <v>339</v>
      </c>
      <c r="B29" s="77" t="s">
        <v>340</v>
      </c>
      <c r="C29" s="89" t="b">
        <f>EXACT(A29,B29)</f>
        <v>0</v>
      </c>
    </row>
    <row r="30" spans="1:10">
      <c r="A30" s="77" t="s">
        <v>339</v>
      </c>
      <c r="B30" s="77" t="s">
        <v>339</v>
      </c>
      <c r="C30" s="89" t="b">
        <f t="shared" ref="C30:C32" si="0">EXACT(A30,B30)</f>
        <v>1</v>
      </c>
    </row>
    <row r="31" spans="1:10">
      <c r="A31" s="77">
        <v>1234</v>
      </c>
      <c r="B31" s="77">
        <v>1234</v>
      </c>
      <c r="C31" s="89" t="b">
        <f t="shared" si="0"/>
        <v>1</v>
      </c>
    </row>
    <row r="32" spans="1:10">
      <c r="A32" s="77">
        <v>1.1000000000000001</v>
      </c>
      <c r="B32" s="77">
        <v>1.101</v>
      </c>
      <c r="C32" s="89" t="b">
        <f t="shared" si="0"/>
        <v>0</v>
      </c>
    </row>
  </sheetData>
  <mergeCells count="7">
    <mergeCell ref="A27:J27"/>
    <mergeCell ref="A1:B1"/>
    <mergeCell ref="A23:J24"/>
    <mergeCell ref="A4:J5"/>
    <mergeCell ref="D18:E18"/>
    <mergeCell ref="D19:E19"/>
    <mergeCell ref="D20:E20"/>
  </mergeCells>
  <pageMargins left="0.7" right="0.7" top="0.75" bottom="0.75" header="0.3" footer="0.3"/>
  <pageSetup orientation="portrait" horizontalDpi="4294967293" verticalDpi="4294967293"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39"/>
  <sheetViews>
    <sheetView showGridLines="0" topLeftCell="A10" zoomScaleNormal="100" workbookViewId="0">
      <selection activeCell="E40" sqref="E40"/>
    </sheetView>
  </sheetViews>
  <sheetFormatPr defaultRowHeight="15"/>
  <cols>
    <col min="1" max="1" width="12.140625" customWidth="1"/>
    <col min="2" max="2" width="16" customWidth="1"/>
    <col min="3" max="3" width="13.28515625" customWidth="1"/>
    <col min="4" max="4" width="15.42578125" customWidth="1"/>
    <col min="5" max="5" width="15.85546875" customWidth="1"/>
    <col min="7" max="7" width="10.28515625" customWidth="1"/>
    <col min="10" max="10" width="10.140625" customWidth="1"/>
    <col min="11" max="11" width="11.28515625" customWidth="1"/>
    <col min="12" max="12" width="10.140625" customWidth="1"/>
  </cols>
  <sheetData>
    <row r="1" spans="1:12" ht="32.25" thickBot="1">
      <c r="A1" s="240" t="s">
        <v>150</v>
      </c>
      <c r="B1" s="240"/>
      <c r="C1" s="76"/>
      <c r="D1" s="76"/>
      <c r="E1" s="76"/>
      <c r="F1" s="76"/>
      <c r="G1" s="76"/>
      <c r="H1" s="76"/>
      <c r="I1" s="76"/>
      <c r="J1" s="76"/>
      <c r="K1" s="76"/>
      <c r="L1" s="76"/>
    </row>
    <row r="2" spans="1:12" ht="15.75" thickTop="1"/>
    <row r="3" spans="1:12" ht="18.75">
      <c r="A3" s="74" t="s">
        <v>203</v>
      </c>
    </row>
    <row r="4" spans="1:12">
      <c r="A4" s="227" t="s">
        <v>343</v>
      </c>
      <c r="B4" s="227"/>
      <c r="C4" s="227"/>
      <c r="D4" s="227"/>
      <c r="E4" s="227"/>
      <c r="F4" s="227"/>
      <c r="G4" s="227"/>
      <c r="H4" s="227"/>
      <c r="I4" s="227"/>
      <c r="J4" s="227"/>
    </row>
    <row r="5" spans="1:12">
      <c r="A5" s="91"/>
      <c r="B5" s="91"/>
      <c r="C5" s="91"/>
      <c r="D5" s="91"/>
      <c r="E5" s="91"/>
      <c r="F5" s="91"/>
      <c r="G5" s="91"/>
      <c r="H5" s="91"/>
      <c r="I5" s="91"/>
      <c r="J5" s="91"/>
    </row>
    <row r="6" spans="1:12" ht="18.75">
      <c r="A6" s="74" t="s">
        <v>24</v>
      </c>
    </row>
    <row r="7" spans="1:12" ht="15.75">
      <c r="A7" s="80" t="s">
        <v>344</v>
      </c>
    </row>
    <row r="9" spans="1:12" ht="15.75">
      <c r="A9" s="73" t="s">
        <v>155</v>
      </c>
    </row>
    <row r="10" spans="1:12">
      <c r="A10" t="s">
        <v>345</v>
      </c>
    </row>
    <row r="12" spans="1:12" ht="15.75">
      <c r="A12" s="73" t="s">
        <v>347</v>
      </c>
    </row>
    <row r="13" spans="1:12">
      <c r="A13" t="s">
        <v>346</v>
      </c>
    </row>
    <row r="15" spans="1:12" ht="15.75">
      <c r="A15" s="73" t="s">
        <v>44</v>
      </c>
    </row>
    <row r="16" spans="1:12">
      <c r="A16" t="s">
        <v>349</v>
      </c>
    </row>
    <row r="17" spans="1:10">
      <c r="A17" s="85" t="s">
        <v>304</v>
      </c>
      <c r="B17" s="85" t="s">
        <v>49</v>
      </c>
      <c r="C17" s="229" t="s">
        <v>217</v>
      </c>
      <c r="D17" s="229"/>
    </row>
    <row r="18" spans="1:10">
      <c r="A18" s="104">
        <v>42821</v>
      </c>
      <c r="B18" s="77" t="str">
        <f>TEXT(A18, "dd/mm/yyyy")</f>
        <v>27/03/2017</v>
      </c>
      <c r="C18" s="234" t="s">
        <v>1038</v>
      </c>
      <c r="D18" s="235"/>
    </row>
    <row r="19" spans="1:10">
      <c r="A19" s="95">
        <v>42821</v>
      </c>
      <c r="B19" s="77" t="str">
        <f>TEXT(A19, "dd/m/yyyy")</f>
        <v>27/3/2017</v>
      </c>
      <c r="C19" s="234" t="s">
        <v>1039</v>
      </c>
      <c r="D19" s="235"/>
      <c r="F19" s="255" t="s">
        <v>350</v>
      </c>
      <c r="G19" s="255"/>
      <c r="H19" s="255"/>
      <c r="I19" s="255"/>
    </row>
    <row r="20" spans="1:10">
      <c r="A20" s="95">
        <v>42821</v>
      </c>
      <c r="B20" s="77" t="str">
        <f>TEXT(A20, "mmm dd yyyy")</f>
        <v>Mar 27 2017</v>
      </c>
      <c r="C20" s="234" t="s">
        <v>1040</v>
      </c>
      <c r="D20" s="235"/>
      <c r="F20" s="255"/>
      <c r="G20" s="255"/>
      <c r="H20" s="255"/>
      <c r="I20" s="255"/>
    </row>
    <row r="21" spans="1:10">
      <c r="A21" s="104">
        <v>42821</v>
      </c>
      <c r="B21" s="77" t="str">
        <f>TEXT(A21,"mmm-yy")</f>
        <v>Mar-17</v>
      </c>
      <c r="C21" s="234" t="s">
        <v>1041</v>
      </c>
      <c r="D21" s="235"/>
      <c r="F21" s="255"/>
      <c r="G21" s="255"/>
      <c r="H21" s="255"/>
      <c r="I21" s="255"/>
    </row>
    <row r="22" spans="1:10">
      <c r="A22" s="95">
        <v>14.141413999999999</v>
      </c>
      <c r="B22" s="77" t="str">
        <f>TEXT(A22, "0.00")</f>
        <v>14.14</v>
      </c>
      <c r="C22" s="234" t="s">
        <v>1042</v>
      </c>
      <c r="D22" s="235"/>
      <c r="F22" s="255"/>
      <c r="G22" s="255"/>
      <c r="H22" s="255"/>
      <c r="I22" s="255"/>
    </row>
    <row r="23" spans="1:10">
      <c r="A23" s="95">
        <v>14598.12</v>
      </c>
      <c r="B23" s="77" t="str">
        <f>TEXT(A23, "$#,##0.00")</f>
        <v>$14,598.12</v>
      </c>
      <c r="C23" s="234" t="s">
        <v>1043</v>
      </c>
      <c r="D23" s="235"/>
      <c r="F23" s="255"/>
      <c r="G23" s="255"/>
      <c r="H23" s="255"/>
      <c r="I23" s="255"/>
    </row>
    <row r="24" spans="1:10">
      <c r="A24" s="95">
        <v>14598.12</v>
      </c>
      <c r="B24" s="77" t="str">
        <f>TEXT(A24, "£#,##0.00")</f>
        <v>£14,598.12</v>
      </c>
      <c r="C24" s="234" t="s">
        <v>1044</v>
      </c>
      <c r="D24" s="235"/>
    </row>
    <row r="25" spans="1:10">
      <c r="A25" s="106">
        <v>0.58333333333333337</v>
      </c>
      <c r="B25" s="77" t="str">
        <f>TEXT(A25, "hh:mm")</f>
        <v>14:00</v>
      </c>
      <c r="C25" s="234" t="s">
        <v>1045</v>
      </c>
      <c r="D25" s="235"/>
    </row>
    <row r="26" spans="1:10" ht="15.75">
      <c r="A26" s="73"/>
    </row>
    <row r="27" spans="1:10" ht="15.75">
      <c r="A27" s="73" t="s">
        <v>351</v>
      </c>
    </row>
    <row r="28" spans="1:10">
      <c r="A28" s="227" t="s">
        <v>1046</v>
      </c>
      <c r="B28" s="227"/>
      <c r="C28" s="227"/>
      <c r="D28" s="227"/>
      <c r="E28" s="227"/>
      <c r="F28" s="227"/>
      <c r="G28" s="227"/>
      <c r="H28" s="227"/>
      <c r="I28" s="227"/>
      <c r="J28" s="227"/>
    </row>
    <row r="29" spans="1:10" ht="15.75" customHeight="1">
      <c r="A29" s="227"/>
      <c r="B29" s="227"/>
      <c r="C29" s="227"/>
      <c r="D29" s="227"/>
      <c r="E29" s="227"/>
      <c r="F29" s="227"/>
      <c r="G29" s="227"/>
      <c r="H29" s="227"/>
      <c r="I29" s="227"/>
      <c r="J29" s="227"/>
    </row>
    <row r="30" spans="1:10" ht="15.75">
      <c r="A30" s="73"/>
    </row>
    <row r="31" spans="1:10" ht="15.75">
      <c r="A31" s="73" t="s">
        <v>235</v>
      </c>
    </row>
    <row r="32" spans="1:10" ht="15" customHeight="1">
      <c r="A32" s="227" t="s">
        <v>341</v>
      </c>
      <c r="B32" s="227"/>
      <c r="C32" s="227"/>
      <c r="D32" s="227"/>
      <c r="E32" s="227"/>
      <c r="F32" s="227"/>
      <c r="G32" s="227"/>
      <c r="H32" s="227"/>
      <c r="I32" s="227"/>
      <c r="J32" s="227"/>
    </row>
    <row r="33" spans="1:3">
      <c r="A33" s="97" t="s">
        <v>155</v>
      </c>
      <c r="B33" s="97" t="s">
        <v>352</v>
      </c>
      <c r="C33" s="97" t="s">
        <v>338</v>
      </c>
    </row>
    <row r="34" spans="1:3">
      <c r="A34" s="107">
        <v>42876</v>
      </c>
      <c r="B34" s="107">
        <v>42876</v>
      </c>
      <c r="C34" s="89" t="str">
        <f>IF(EXACT(A34,B34),"SAME","NOT")</f>
        <v>SAME</v>
      </c>
    </row>
    <row r="35" spans="1:3">
      <c r="A35" s="77">
        <v>42876</v>
      </c>
      <c r="B35" s="107">
        <v>42876</v>
      </c>
      <c r="C35" s="89" t="str">
        <f t="shared" ref="C35:C38" si="0">IF(EXACT(A35,B35),"SAME","NOT")</f>
        <v>SAME</v>
      </c>
    </row>
    <row r="36" spans="1:3">
      <c r="A36" s="108">
        <v>0.5</v>
      </c>
      <c r="B36" s="108">
        <v>0.5</v>
      </c>
      <c r="C36" s="89" t="str">
        <f t="shared" si="0"/>
        <v>SAME</v>
      </c>
    </row>
    <row r="37" spans="1:3">
      <c r="A37" s="77">
        <v>12345.78</v>
      </c>
      <c r="B37" s="109">
        <v>12345.78</v>
      </c>
      <c r="C37" s="89" t="str">
        <f t="shared" si="0"/>
        <v>SAME</v>
      </c>
    </row>
    <row r="38" spans="1:3">
      <c r="A38" s="77">
        <v>12345.78</v>
      </c>
      <c r="B38" s="110">
        <v>12346</v>
      </c>
      <c r="C38" s="89" t="str">
        <f t="shared" si="0"/>
        <v>NOT</v>
      </c>
    </row>
    <row r="39" spans="1:3">
      <c r="A39" s="105"/>
    </row>
  </sheetData>
  <mergeCells count="14">
    <mergeCell ref="A1:B1"/>
    <mergeCell ref="A4:J4"/>
    <mergeCell ref="C17:D17"/>
    <mergeCell ref="C18:D18"/>
    <mergeCell ref="C19:D19"/>
    <mergeCell ref="C20:D20"/>
    <mergeCell ref="C21:D21"/>
    <mergeCell ref="C22:D22"/>
    <mergeCell ref="F19:I23"/>
    <mergeCell ref="A32:J32"/>
    <mergeCell ref="C23:D23"/>
    <mergeCell ref="C24:D24"/>
    <mergeCell ref="C25:D25"/>
    <mergeCell ref="A28:J29"/>
  </mergeCells>
  <pageMargins left="0.7" right="0.7" top="0.75" bottom="0.75" header="0.3" footer="0.3"/>
  <pageSetup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6"/>
  <sheetViews>
    <sheetView showGridLines="0" topLeftCell="A7" zoomScale="90" zoomScaleNormal="90" workbookViewId="0">
      <selection activeCell="F43" sqref="F43"/>
    </sheetView>
  </sheetViews>
  <sheetFormatPr defaultRowHeight="15"/>
  <cols>
    <col min="1" max="1" width="10" customWidth="1"/>
    <col min="2" max="2" width="11.5703125" bestFit="1" customWidth="1"/>
    <col min="3" max="3" width="10.140625" customWidth="1"/>
    <col min="4" max="4" width="15.5703125" customWidth="1"/>
    <col min="5" max="5" width="14.5703125" customWidth="1"/>
    <col min="7" max="7" width="13.5703125" customWidth="1"/>
    <col min="9" max="9" width="10.140625" customWidth="1"/>
    <col min="10" max="10" width="12.140625" customWidth="1"/>
    <col min="11" max="11" width="11.28515625" customWidth="1"/>
    <col min="12" max="12" width="10.140625" customWidth="1"/>
  </cols>
  <sheetData>
    <row r="1" spans="1:12" ht="32.25" thickBot="1">
      <c r="A1" s="259" t="s">
        <v>161</v>
      </c>
      <c r="B1" s="259"/>
      <c r="C1" s="259"/>
      <c r="D1" s="76"/>
      <c r="E1" s="76"/>
      <c r="F1" s="76"/>
      <c r="G1" s="76"/>
      <c r="H1" s="76"/>
      <c r="I1" s="76"/>
      <c r="J1" s="76"/>
      <c r="K1" s="76"/>
      <c r="L1" s="76"/>
    </row>
    <row r="2" spans="1:12" ht="15.75" thickTop="1"/>
    <row r="3" spans="1:12" ht="18.75">
      <c r="A3" s="74" t="s">
        <v>203</v>
      </c>
    </row>
    <row r="4" spans="1:12">
      <c r="A4" t="s">
        <v>353</v>
      </c>
    </row>
    <row r="6" spans="1:12" ht="18.75">
      <c r="A6" s="74" t="s">
        <v>24</v>
      </c>
    </row>
    <row r="7" spans="1:12" ht="15.75">
      <c r="A7" s="80" t="s">
        <v>354</v>
      </c>
    </row>
    <row r="8" spans="1:12">
      <c r="A8" t="s">
        <v>0</v>
      </c>
    </row>
    <row r="9" spans="1:12" ht="15.75">
      <c r="A9" s="80" t="s">
        <v>355</v>
      </c>
    </row>
    <row r="11" spans="1:12" ht="15.75">
      <c r="A11" s="73" t="s">
        <v>356</v>
      </c>
    </row>
    <row r="12" spans="1:12">
      <c r="A12" t="s">
        <v>388</v>
      </c>
    </row>
    <row r="14" spans="1:12" ht="15.75">
      <c r="A14" s="73" t="s">
        <v>357</v>
      </c>
    </row>
    <row r="15" spans="1:12">
      <c r="A15" t="s">
        <v>358</v>
      </c>
    </row>
    <row r="17" spans="1:11" ht="15.75">
      <c r="A17" s="73" t="s">
        <v>48</v>
      </c>
    </row>
    <row r="18" spans="1:11">
      <c r="A18" t="s">
        <v>373</v>
      </c>
    </row>
    <row r="19" spans="1:11">
      <c r="A19" s="85" t="s">
        <v>360</v>
      </c>
      <c r="B19" s="85" t="s">
        <v>359</v>
      </c>
      <c r="C19" s="85" t="s">
        <v>361</v>
      </c>
      <c r="D19" s="92" t="s">
        <v>49</v>
      </c>
      <c r="E19" s="229" t="s">
        <v>217</v>
      </c>
      <c r="F19" s="229"/>
      <c r="G19" s="229"/>
    </row>
    <row r="20" spans="1:11">
      <c r="A20" s="77" t="s">
        <v>208</v>
      </c>
      <c r="B20" s="77">
        <v>90</v>
      </c>
      <c r="C20" s="111" t="s">
        <v>149</v>
      </c>
      <c r="D20" s="85" t="str">
        <f>CONCATENATE(A20,B20,C20)</f>
        <v>S00190Pass</v>
      </c>
      <c r="E20" s="233" t="s">
        <v>362</v>
      </c>
      <c r="F20" s="233"/>
      <c r="G20" s="233"/>
    </row>
    <row r="21" spans="1:11">
      <c r="A21" s="77" t="s">
        <v>209</v>
      </c>
      <c r="B21" s="77">
        <v>70</v>
      </c>
      <c r="C21" s="111" t="s">
        <v>149</v>
      </c>
      <c r="D21" s="85" t="str">
        <f t="shared" ref="D21" si="0">CONCATENATE(A21,B21,C21)</f>
        <v>S00270Pass</v>
      </c>
      <c r="E21" s="233" t="s">
        <v>363</v>
      </c>
      <c r="F21" s="233"/>
      <c r="G21" s="233"/>
    </row>
    <row r="22" spans="1:11">
      <c r="A22" s="77" t="s">
        <v>210</v>
      </c>
      <c r="B22" s="77">
        <v>20</v>
      </c>
      <c r="C22" s="111" t="s">
        <v>148</v>
      </c>
      <c r="D22" s="85" t="str">
        <f>A22&amp;B22&amp;C22</f>
        <v>S00320Fail</v>
      </c>
      <c r="E22" s="233" t="s">
        <v>364</v>
      </c>
      <c r="F22" s="233"/>
      <c r="G22" s="233"/>
    </row>
    <row r="23" spans="1:11">
      <c r="A23" s="77" t="s">
        <v>211</v>
      </c>
      <c r="B23" s="77">
        <v>41</v>
      </c>
      <c r="C23" s="111" t="s">
        <v>149</v>
      </c>
      <c r="D23" s="85" t="str">
        <f>A23&amp;B23&amp;C23</f>
        <v>S00441Pass</v>
      </c>
      <c r="E23" s="233" t="s">
        <v>365</v>
      </c>
      <c r="F23" s="233"/>
      <c r="G23" s="233"/>
    </row>
    <row r="24" spans="1:11">
      <c r="A24" s="77" t="s">
        <v>366</v>
      </c>
      <c r="B24" s="77">
        <v>39</v>
      </c>
      <c r="C24" s="111" t="s">
        <v>148</v>
      </c>
      <c r="D24" s="85" t="str">
        <f>CONCATENATE(A24," ",B24," ",C24)</f>
        <v>S005 39 Fail</v>
      </c>
      <c r="E24" s="233" t="s">
        <v>368</v>
      </c>
      <c r="F24" s="233"/>
      <c r="G24" s="233"/>
      <c r="I24" s="241" t="s">
        <v>372</v>
      </c>
      <c r="J24" s="241"/>
      <c r="K24" s="241"/>
    </row>
    <row r="25" spans="1:11">
      <c r="A25" s="77" t="s">
        <v>367</v>
      </c>
      <c r="B25" s="77">
        <v>99</v>
      </c>
      <c r="C25" s="111" t="s">
        <v>149</v>
      </c>
      <c r="D25" s="85" t="str">
        <f>A25&amp;" "&amp;B25&amp;" "&amp;C25</f>
        <v>S006 99 Pass</v>
      </c>
      <c r="E25" s="233" t="s">
        <v>369</v>
      </c>
      <c r="F25" s="233"/>
      <c r="G25" s="233"/>
      <c r="I25" s="241"/>
      <c r="J25" s="241"/>
      <c r="K25" s="241"/>
    </row>
    <row r="26" spans="1:11">
      <c r="A26" s="77" t="s">
        <v>370</v>
      </c>
      <c r="B26" s="77">
        <v>11</v>
      </c>
      <c r="C26" s="111" t="s">
        <v>148</v>
      </c>
      <c r="D26" s="85" t="str">
        <f>CONCATENATE(A26,";",B26,";",C26)</f>
        <v>S007;11;Fail</v>
      </c>
      <c r="E26" s="233" t="s">
        <v>371</v>
      </c>
      <c r="F26" s="233"/>
      <c r="G26" s="233"/>
      <c r="I26" s="241"/>
      <c r="J26" s="241"/>
      <c r="K26" s="241"/>
    </row>
    <row r="28" spans="1:11" ht="15.75">
      <c r="A28" s="73" t="s">
        <v>156</v>
      </c>
    </row>
    <row r="29" spans="1:11">
      <c r="A29" s="227" t="s">
        <v>381</v>
      </c>
      <c r="B29" s="227"/>
      <c r="C29" s="227"/>
      <c r="D29" s="227"/>
      <c r="E29" s="227"/>
      <c r="F29" s="227"/>
      <c r="G29" s="227"/>
      <c r="H29" s="227"/>
      <c r="I29" s="227"/>
      <c r="J29" s="227"/>
    </row>
    <row r="30" spans="1:11">
      <c r="A30" s="227"/>
      <c r="B30" s="227"/>
      <c r="C30" s="227"/>
      <c r="D30" s="227"/>
      <c r="E30" s="227"/>
      <c r="F30" s="227"/>
      <c r="G30" s="227"/>
      <c r="H30" s="227"/>
      <c r="I30" s="227"/>
      <c r="J30" s="227"/>
    </row>
    <row r="31" spans="1:11">
      <c r="A31" s="91"/>
      <c r="B31" s="91"/>
      <c r="C31" s="91"/>
      <c r="D31" s="91"/>
      <c r="E31" s="91"/>
      <c r="F31" s="91"/>
      <c r="G31" s="91"/>
      <c r="H31" s="91"/>
      <c r="I31" s="91"/>
      <c r="J31" s="91"/>
    </row>
    <row r="32" spans="1:11" ht="15.75">
      <c r="A32" s="73" t="s">
        <v>235</v>
      </c>
    </row>
    <row r="33" spans="1:9">
      <c r="A33" t="s">
        <v>374</v>
      </c>
    </row>
    <row r="34" spans="1:9">
      <c r="A34" s="85" t="s">
        <v>360</v>
      </c>
      <c r="B34" s="85" t="s">
        <v>359</v>
      </c>
      <c r="C34" s="85" t="s">
        <v>361</v>
      </c>
      <c r="D34" s="92" t="s">
        <v>49</v>
      </c>
      <c r="E34" s="92" t="s">
        <v>386</v>
      </c>
      <c r="F34" s="256" t="s">
        <v>217</v>
      </c>
      <c r="G34" s="257"/>
      <c r="H34" s="258"/>
    </row>
    <row r="35" spans="1:9">
      <c r="A35" s="77" t="s">
        <v>220</v>
      </c>
      <c r="B35" s="77" t="s">
        <v>225</v>
      </c>
      <c r="C35" s="111">
        <v>800</v>
      </c>
      <c r="D35" s="85" t="s">
        <v>382</v>
      </c>
      <c r="E35" s="93" t="s">
        <v>161</v>
      </c>
      <c r="F35" s="256" t="str">
        <f>CONCATENATE(A35,B35,C35)</f>
        <v>E001AVP800</v>
      </c>
      <c r="G35" s="257"/>
      <c r="H35" s="258"/>
    </row>
    <row r="36" spans="1:9">
      <c r="A36" s="77" t="s">
        <v>221</v>
      </c>
      <c r="B36" s="77" t="s">
        <v>226</v>
      </c>
      <c r="C36" s="111">
        <v>500</v>
      </c>
      <c r="D36" s="85" t="s">
        <v>378</v>
      </c>
      <c r="E36" s="93" t="s">
        <v>161</v>
      </c>
      <c r="F36" s="256" t="str">
        <f t="shared" ref="F36:F37" si="1">CONCATENATE(A36,B36,C36)</f>
        <v>E002Analyst500</v>
      </c>
      <c r="G36" s="257"/>
      <c r="H36" s="258"/>
    </row>
    <row r="37" spans="1:9">
      <c r="A37" s="77" t="s">
        <v>222</v>
      </c>
      <c r="B37" s="77" t="s">
        <v>226</v>
      </c>
      <c r="C37" s="111">
        <v>100</v>
      </c>
      <c r="D37" s="85" t="s">
        <v>383</v>
      </c>
      <c r="E37" s="93" t="s">
        <v>161</v>
      </c>
      <c r="F37" s="256" t="str">
        <f t="shared" si="1"/>
        <v>E003Analyst100</v>
      </c>
      <c r="G37" s="257"/>
      <c r="H37" s="258"/>
    </row>
    <row r="38" spans="1:9">
      <c r="A38" s="77" t="s">
        <v>223</v>
      </c>
      <c r="B38" s="77" t="s">
        <v>226</v>
      </c>
      <c r="C38" s="111">
        <v>400</v>
      </c>
      <c r="D38" s="85" t="s">
        <v>384</v>
      </c>
      <c r="E38" s="93" t="s">
        <v>387</v>
      </c>
      <c r="F38" s="256" t="str">
        <f>A38&amp;B38&amp;C38</f>
        <v>E004Analyst400</v>
      </c>
      <c r="G38" s="257"/>
      <c r="H38" s="258"/>
    </row>
    <row r="39" spans="1:9">
      <c r="A39" s="77" t="s">
        <v>375</v>
      </c>
      <c r="B39" s="77" t="s">
        <v>225</v>
      </c>
      <c r="C39" s="111">
        <v>1000</v>
      </c>
      <c r="D39" s="85" t="s">
        <v>379</v>
      </c>
      <c r="E39" s="93" t="s">
        <v>387</v>
      </c>
      <c r="F39" s="256" t="str">
        <f t="shared" ref="F39:F41" si="2">A39&amp;B39&amp;C39</f>
        <v>E005AVP1000</v>
      </c>
      <c r="G39" s="257"/>
      <c r="H39" s="258"/>
    </row>
    <row r="40" spans="1:9">
      <c r="A40" s="77" t="s">
        <v>376</v>
      </c>
      <c r="B40" s="77" t="s">
        <v>226</v>
      </c>
      <c r="C40" s="111">
        <v>250</v>
      </c>
      <c r="D40" s="85" t="s">
        <v>380</v>
      </c>
      <c r="E40" s="93" t="s">
        <v>387</v>
      </c>
      <c r="F40" s="256" t="str">
        <f t="shared" si="2"/>
        <v>E006Analyst250</v>
      </c>
      <c r="G40" s="257"/>
      <c r="H40" s="258"/>
    </row>
    <row r="41" spans="1:9">
      <c r="A41" s="77" t="s">
        <v>377</v>
      </c>
      <c r="B41" s="77" t="s">
        <v>226</v>
      </c>
      <c r="C41" s="111">
        <v>500</v>
      </c>
      <c r="D41" s="85" t="s">
        <v>385</v>
      </c>
      <c r="E41" s="93" t="s">
        <v>387</v>
      </c>
      <c r="F41" s="256" t="str">
        <f t="shared" si="2"/>
        <v>E007Analyst500</v>
      </c>
      <c r="G41" s="257"/>
      <c r="H41" s="258"/>
    </row>
    <row r="43" spans="1:9">
      <c r="D43" s="216"/>
      <c r="E43" s="217"/>
      <c r="I43" s="216"/>
    </row>
    <row r="44" spans="1:9">
      <c r="D44" s="216"/>
      <c r="E44" s="217"/>
      <c r="I44" s="216"/>
    </row>
    <row r="45" spans="1:9">
      <c r="D45" s="216"/>
      <c r="E45" s="217"/>
    </row>
    <row r="46" spans="1:9">
      <c r="D46" s="216"/>
      <c r="E46" s="217"/>
    </row>
  </sheetData>
  <mergeCells count="19">
    <mergeCell ref="A29:J30"/>
    <mergeCell ref="A1:C1"/>
    <mergeCell ref="E19:G19"/>
    <mergeCell ref="E20:G20"/>
    <mergeCell ref="E21:G21"/>
    <mergeCell ref="E22:G22"/>
    <mergeCell ref="E23:G23"/>
    <mergeCell ref="E24:G24"/>
    <mergeCell ref="E25:G25"/>
    <mergeCell ref="E26:G26"/>
    <mergeCell ref="I24:K26"/>
    <mergeCell ref="F41:H41"/>
    <mergeCell ref="F34:H34"/>
    <mergeCell ref="F35:H35"/>
    <mergeCell ref="F36:H36"/>
    <mergeCell ref="F38:H38"/>
    <mergeCell ref="F37:H37"/>
    <mergeCell ref="F39:H39"/>
    <mergeCell ref="F40:H40"/>
  </mergeCells>
  <pageMargins left="0.7" right="0.7" top="0.75" bottom="0.75" header="0.3" footer="0.3"/>
  <pageSetup orientation="portrait"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55</vt:i4>
      </vt:variant>
    </vt:vector>
  </HeadingPairs>
  <TitlesOfParts>
    <vt:vector size="55" baseType="lpstr">
      <vt:lpstr>Logical - IF</vt:lpstr>
      <vt:lpstr>Logical - AND</vt:lpstr>
      <vt:lpstr>Logical - Nested IFs</vt:lpstr>
      <vt:lpstr>Logical - OR</vt:lpstr>
      <vt:lpstr>Logical - IFERROR</vt:lpstr>
      <vt:lpstr>Logical - IFNA</vt:lpstr>
      <vt:lpstr>Text - Exact</vt:lpstr>
      <vt:lpstr>Text - TEXT</vt:lpstr>
      <vt:lpstr>Text - CONCATENATE</vt:lpstr>
      <vt:lpstr>Text - TRIM</vt:lpstr>
      <vt:lpstr>Text - SUBSTITUTE</vt:lpstr>
      <vt:lpstr>Text - VALUE</vt:lpstr>
      <vt:lpstr>Text - UPPER</vt:lpstr>
      <vt:lpstr>Text - LOWER</vt:lpstr>
      <vt:lpstr>Text - LEN</vt:lpstr>
      <vt:lpstr>Text - LEFT</vt:lpstr>
      <vt:lpstr>Text - RIGHT</vt:lpstr>
      <vt:lpstr>Text - MID</vt:lpstr>
      <vt:lpstr>Date - DATE</vt:lpstr>
      <vt:lpstr>Date - DATEVALUE</vt:lpstr>
      <vt:lpstr>Date - TODAY</vt:lpstr>
      <vt:lpstr>Date - NOW</vt:lpstr>
      <vt:lpstr>Date - DAY</vt:lpstr>
      <vt:lpstr>Date - MONTH</vt:lpstr>
      <vt:lpstr>Date - YEAR</vt:lpstr>
      <vt:lpstr>Date - WEEKDAY</vt:lpstr>
      <vt:lpstr>Time - MINUTE</vt:lpstr>
      <vt:lpstr>Time - HOUR</vt:lpstr>
      <vt:lpstr>Lookup - VLOOKUP</vt:lpstr>
      <vt:lpstr>Lookup - HLOOKUP</vt:lpstr>
      <vt:lpstr>Lookup - TRANSPOSE</vt:lpstr>
      <vt:lpstr>Lookup - MATCH</vt:lpstr>
      <vt:lpstr>MATH - SUM</vt:lpstr>
      <vt:lpstr>MATH - SUMIF</vt:lpstr>
      <vt:lpstr>MATH - SUMPRODUCT</vt:lpstr>
      <vt:lpstr>MATH - RAND</vt:lpstr>
      <vt:lpstr>MATH - RANDBETWEEN</vt:lpstr>
      <vt:lpstr>MATH - ROUND</vt:lpstr>
      <vt:lpstr>MATH - EVEN</vt:lpstr>
      <vt:lpstr>MATH - ODD</vt:lpstr>
      <vt:lpstr>MATH - MOD</vt:lpstr>
      <vt:lpstr>STATISTICAL - MIN</vt:lpstr>
      <vt:lpstr>STATISTICAL - MAX</vt:lpstr>
      <vt:lpstr>STATISTICAL - AVERAGE</vt:lpstr>
      <vt:lpstr>STATISTICAL - SMALL</vt:lpstr>
      <vt:lpstr>STATISTICAL - LARGE</vt:lpstr>
      <vt:lpstr>STATISTICAL - COUNT</vt:lpstr>
      <vt:lpstr>STATISTICAL - COUNTIF</vt:lpstr>
      <vt:lpstr>STATISTICAL - STDEV</vt:lpstr>
      <vt:lpstr>STATISTICAL - CORREL</vt:lpstr>
      <vt:lpstr>STATISTICAL - MEDIAN</vt:lpstr>
      <vt:lpstr>FINANCIAL functions</vt:lpstr>
      <vt:lpstr>VlookUp</vt:lpstr>
      <vt:lpstr>Hlookup</vt:lpstr>
      <vt:lpstr>Transpose</vt:lpstr>
    </vt:vector>
  </TitlesOfParts>
  <Company>Barclays PLC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Ankit : Global Analytics Unit</dc:creator>
  <cp:lastModifiedBy>Windows User</cp:lastModifiedBy>
  <dcterms:created xsi:type="dcterms:W3CDTF">2017-03-20T16:12:20Z</dcterms:created>
  <dcterms:modified xsi:type="dcterms:W3CDTF">2026-02-26T15:30:57Z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-1169491822</vt:i4>
  </property>
  <property fmtid="{D5CDD505-2E9C-101B-9397-08002B2CF9AE}" pid="3" name="_NewReviewCycle">
    <vt:lpwstr/>
  </property>
  <property fmtid="{D5CDD505-2E9C-101B-9397-08002B2CF9AE}" pid="4" name="_EmailSubject">
    <vt:lpwstr>Excel Functions</vt:lpwstr>
  </property>
  <property fmtid="{D5CDD505-2E9C-101B-9397-08002B2CF9AE}" pid="5" name="_AuthorEmail">
    <vt:lpwstr>Ankit.Gupta2@barclayscorp.com</vt:lpwstr>
  </property>
  <property fmtid="{D5CDD505-2E9C-101B-9397-08002B2CF9AE}" pid="6" name="_AuthorEmailDisplayName">
    <vt:lpwstr>Gupta, Ankit : PCB Risk</vt:lpwstr>
  </property>
  <property fmtid="{D5CDD505-2E9C-101B-9397-08002B2CF9AE}" pid="7" name="_ReviewingToolsShownOnce">
    <vt:lpwstr/>
  </property>
</Properties>
</file>